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omments16.xml" ContentType="application/vnd.openxmlformats-officedocument.spreadsheetml.comments+xml"/>
  <Override PartName="/xl/comments17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Labortoire\"/>
    </mc:Choice>
  </mc:AlternateContent>
  <bookViews>
    <workbookView xWindow="120" yWindow="60" windowWidth="15480" windowHeight="11040" tabRatio="811"/>
  </bookViews>
  <sheets>
    <sheet name="Feuil5" sheetId="61" r:id="rId1"/>
    <sheet name="ALPROFENE " sheetId="1" r:id="rId2"/>
    <sheet name="AMLODEX" sheetId="2" r:id="rId3"/>
    <sheet name="ASPEVASC" sheetId="3" r:id="rId4"/>
    <sheet name="CAPTOPRIL LS25" sheetId="4" r:id="rId5"/>
    <sheet name="CAPTOPRIL LS50" sheetId="5" r:id="rId6"/>
    <sheet name="CETALGINE 100" sheetId="6" r:id="rId7"/>
    <sheet name="CETALGINE 150" sheetId="7" r:id="rId8"/>
    <sheet name="CETALGINE 200" sheetId="8" r:id="rId9"/>
    <sheet name="CETALGINE 300" sheetId="9" r:id="rId10"/>
    <sheet name="CLORAXENE 5" sheetId="10" r:id="rId11"/>
    <sheet name="CLORAXENE 10" sheetId="11" r:id="rId12"/>
    <sheet name="COPARAMOL" sheetId="12" r:id="rId13"/>
    <sheet name="COPARAMOL sous-lots" sheetId="54" r:id="rId14"/>
    <sheet name="DIGESTAT" sheetId="13" r:id="rId15"/>
    <sheet name="DIGESTAT 200" sheetId="46" r:id="rId16"/>
    <sheet name="ECOVAR LP" sheetId="14" r:id="rId17"/>
    <sheet name="ECOVAR" sheetId="15" r:id="rId18"/>
    <sheet name="FENAQUENE 25" sheetId="16" r:id="rId19"/>
    <sheet name="FENAQUENE 50" sheetId="17" r:id="rId20"/>
    <sheet name="FENAQUENE 100" sheetId="18" r:id="rId21"/>
    <sheet name="FONGYNE" sheetId="19" r:id="rId22"/>
    <sheet name="HYDREX" sheetId="20" r:id="rId23"/>
    <sheet name="Glycérine Bébé" sheetId="51" r:id="rId24"/>
    <sheet name="Glycérine Enfant" sheetId="52" r:id="rId25"/>
    <sheet name="Glycérine Adulte" sheetId="53" r:id="rId26"/>
    <sheet name="LAXADYL 5" sheetId="21" r:id="rId27"/>
    <sheet name="LAXADYL10" sheetId="22" r:id="rId28"/>
    <sheet name="MEFESTAN125" sheetId="23" r:id="rId29"/>
    <sheet name="MEFESTAN 250" sheetId="59" r:id="rId30"/>
    <sheet name="MEFESTAN 500" sheetId="24" r:id="rId31"/>
    <sheet name="NIFLUMENE 200" sheetId="25" r:id="rId32"/>
    <sheet name="NIFLUMENE 250" sheetId="26" r:id="rId33"/>
    <sheet name="NIFLUMENE 400" sheetId="27" r:id="rId34"/>
    <sheet name="NIFLUMENE 700" sheetId="28" r:id="rId35"/>
    <sheet name="PARAMOL 500" sheetId="29" r:id="rId36"/>
    <sheet name="PARAMOL1000" sheetId="30" r:id="rId37"/>
    <sheet name="PARAMOL1000 GF" sheetId="55" r:id="rId38"/>
    <sheet name="PARAMOL EXTRA" sheetId="45" r:id="rId39"/>
    <sheet name="PIROXAL" sheetId="31" r:id="rId40"/>
    <sheet name="PRIAZIDE" sheetId="50" r:id="rId41"/>
    <sheet name="PROCTOLON" sheetId="32" r:id="rId42"/>
    <sheet name="RAMITEC 2,5" sheetId="33" r:id="rId43"/>
    <sheet name="RAMITEC 5" sheetId="34" r:id="rId44"/>
    <sheet name="RAMITEC10" sheetId="35" r:id="rId45"/>
    <sheet name="SPASMOL " sheetId="36" r:id="rId46"/>
    <sheet name="SULPIRIDE LS 50" sheetId="37" r:id="rId47"/>
    <sheet name="TEMESTA 1 " sheetId="56" r:id="rId48"/>
    <sheet name="TEMESTA 2,5" sheetId="57" r:id="rId49"/>
    <sheet name="TRAMADOL LS 50" sheetId="38" r:id="rId50"/>
    <sheet name="TRAMADOL LS 100" sheetId="39" r:id="rId51"/>
    <sheet name="TRAMADOL PLUS" sheetId="58" r:id="rId52"/>
    <sheet name="TROPHYL ENFANT" sheetId="40" r:id="rId53"/>
    <sheet name="TROPHYL NOURRISSON" sheetId="41" r:id="rId54"/>
    <sheet name="TROPHYL PLUS ENFANTS" sheetId="42" r:id="rId55"/>
    <sheet name="TROPHYL PLUS NOURRISSON" sheetId="43" r:id="rId56"/>
    <sheet name="VISCERALENE" sheetId="44" r:id="rId57"/>
    <sheet name="Feuil1" sheetId="47" r:id="rId58"/>
    <sheet name="Feuil2" sheetId="48" r:id="rId59"/>
    <sheet name="Feuil3" sheetId="49" r:id="rId60"/>
  </sheets>
  <definedNames>
    <definedName name="lstonglets">MID(GET.WORKBOOK(1),FIND("]",GET.WORKBOOK(1))+INT(RAND()+1),32)</definedName>
  </definedNames>
  <calcPr calcId="152511"/>
</workbook>
</file>

<file path=xl/calcChain.xml><?xml version="1.0" encoding="utf-8"?>
<calcChain xmlns="http://schemas.openxmlformats.org/spreadsheetml/2006/main">
  <c r="B3" i="61" l="1"/>
  <c r="B4" i="61"/>
  <c r="B5" i="61"/>
  <c r="B6" i="61"/>
  <c r="B7" i="61"/>
  <c r="B8" i="61"/>
  <c r="B9" i="61"/>
  <c r="B10" i="61"/>
  <c r="B11" i="61"/>
  <c r="B12" i="61"/>
  <c r="B13" i="61"/>
  <c r="B14" i="61"/>
  <c r="B15" i="61"/>
  <c r="B16" i="61"/>
  <c r="B17" i="61"/>
  <c r="B18" i="61"/>
  <c r="B19" i="61"/>
  <c r="B20" i="61"/>
  <c r="B21" i="61"/>
  <c r="B22" i="61"/>
  <c r="B23" i="61"/>
  <c r="B24" i="61"/>
  <c r="B25" i="61"/>
  <c r="B26" i="61"/>
  <c r="B27" i="61"/>
  <c r="B28" i="61"/>
  <c r="B29" i="61"/>
  <c r="B30" i="61"/>
  <c r="B31" i="61"/>
  <c r="B32" i="61"/>
  <c r="B33" i="61"/>
  <c r="B34" i="61"/>
  <c r="B35" i="61"/>
  <c r="B36" i="61"/>
  <c r="B37" i="61"/>
  <c r="B38" i="61"/>
  <c r="B39" i="61"/>
  <c r="B40" i="61"/>
  <c r="B41" i="61"/>
  <c r="B42" i="61"/>
  <c r="B43" i="61"/>
  <c r="B44" i="61"/>
  <c r="B45" i="61"/>
  <c r="B46" i="61"/>
  <c r="B47" i="61"/>
  <c r="B48" i="61"/>
  <c r="B49" i="61"/>
  <c r="B50" i="61"/>
  <c r="B51" i="61"/>
  <c r="B52" i="61"/>
  <c r="B53" i="61"/>
  <c r="B54" i="61"/>
  <c r="B55" i="61"/>
  <c r="B56" i="61"/>
  <c r="B57" i="61"/>
  <c r="B58" i="61"/>
  <c r="B59" i="61"/>
  <c r="B60" i="61"/>
  <c r="B61" i="61"/>
  <c r="B62" i="61"/>
  <c r="B63" i="61"/>
  <c r="B64" i="61"/>
  <c r="B65" i="61"/>
  <c r="B66" i="61"/>
  <c r="B67" i="61"/>
  <c r="B68" i="61"/>
  <c r="B69" i="61"/>
  <c r="B70" i="61"/>
  <c r="B71" i="61"/>
  <c r="B72" i="61"/>
  <c r="B73" i="61"/>
  <c r="B74" i="61"/>
  <c r="B75" i="61"/>
  <c r="B76" i="61"/>
  <c r="B77" i="61"/>
  <c r="B78" i="61"/>
  <c r="B79" i="61"/>
  <c r="B80" i="61"/>
  <c r="B81" i="61"/>
  <c r="B82" i="61"/>
  <c r="B83" i="61"/>
  <c r="B84" i="61"/>
  <c r="B85" i="61"/>
  <c r="B86" i="61"/>
  <c r="B87" i="61"/>
  <c r="B88" i="61"/>
  <c r="B89" i="61"/>
  <c r="B90" i="61"/>
  <c r="B91" i="61"/>
  <c r="B92" i="61"/>
  <c r="B93" i="61"/>
  <c r="B94" i="61"/>
  <c r="B95" i="61"/>
  <c r="B96" i="61"/>
  <c r="B97" i="61"/>
  <c r="B98" i="61"/>
  <c r="B99" i="61"/>
  <c r="B100" i="61"/>
  <c r="B101" i="61"/>
  <c r="B102" i="61"/>
  <c r="B103" i="61"/>
  <c r="B104" i="61"/>
  <c r="B105" i="61"/>
  <c r="B106" i="61"/>
  <c r="B107" i="61"/>
  <c r="B108" i="61"/>
  <c r="B109" i="61"/>
  <c r="B110" i="61"/>
  <c r="B111" i="61"/>
  <c r="B112" i="61"/>
  <c r="B113" i="61"/>
  <c r="B114" i="61"/>
  <c r="B115" i="61"/>
  <c r="B116" i="61"/>
  <c r="B117" i="61"/>
  <c r="B118" i="61"/>
  <c r="B119" i="61"/>
  <c r="B120" i="61"/>
  <c r="B121" i="61"/>
  <c r="B122" i="61"/>
  <c r="B123" i="61"/>
  <c r="B124" i="61"/>
  <c r="B125" i="61"/>
  <c r="B126" i="61"/>
  <c r="B127" i="61"/>
  <c r="B128" i="61"/>
  <c r="B129" i="61"/>
  <c r="B130" i="61"/>
  <c r="B131" i="61"/>
  <c r="B132" i="61"/>
  <c r="B133" i="61"/>
  <c r="B134" i="61"/>
  <c r="B135" i="61"/>
  <c r="B136" i="61"/>
  <c r="B137" i="61"/>
  <c r="B138" i="61"/>
  <c r="B139" i="61"/>
  <c r="B140" i="61"/>
  <c r="B141" i="61"/>
  <c r="B142" i="61"/>
  <c r="B143" i="61"/>
  <c r="B144" i="61"/>
  <c r="B145" i="61"/>
  <c r="B146" i="61"/>
  <c r="B147" i="61"/>
  <c r="B148" i="61"/>
  <c r="B149" i="61"/>
  <c r="B150" i="61"/>
  <c r="B151" i="61"/>
  <c r="B152" i="61"/>
  <c r="B153" i="61"/>
  <c r="B154" i="61"/>
  <c r="B155" i="61"/>
  <c r="B156" i="61"/>
  <c r="B157" i="61"/>
  <c r="B158" i="61"/>
  <c r="B159" i="61"/>
  <c r="B160" i="61"/>
  <c r="B161" i="61"/>
  <c r="B162" i="61"/>
  <c r="B163" i="61"/>
  <c r="B164" i="61"/>
  <c r="B165" i="61"/>
  <c r="B166" i="61"/>
  <c r="B167" i="61"/>
  <c r="B168" i="61"/>
  <c r="B169" i="61"/>
  <c r="B170" i="61"/>
  <c r="B171" i="61"/>
  <c r="B172" i="61"/>
  <c r="B173" i="61"/>
  <c r="B174" i="61"/>
  <c r="B175" i="61"/>
  <c r="B176" i="61"/>
  <c r="B177" i="61"/>
  <c r="B178" i="61"/>
  <c r="B179" i="61"/>
  <c r="B180" i="61"/>
  <c r="B181" i="61"/>
  <c r="B182" i="61"/>
  <c r="B183" i="61"/>
  <c r="B184" i="61"/>
  <c r="B185" i="61"/>
  <c r="B186" i="61"/>
  <c r="B187" i="61"/>
  <c r="E20" i="22" l="1"/>
  <c r="J18" i="58"/>
  <c r="J19" i="58"/>
  <c r="H12" i="12"/>
  <c r="G12" i="12"/>
  <c r="C16" i="12" s="1"/>
  <c r="G15" i="12"/>
  <c r="H12" i="43"/>
  <c r="H12" i="44"/>
  <c r="H12" i="41"/>
  <c r="H16" i="41"/>
  <c r="G12" i="41"/>
  <c r="G12" i="43"/>
  <c r="F22" i="43" s="1"/>
  <c r="F15" i="43"/>
  <c r="H12" i="7"/>
  <c r="H14" i="7"/>
  <c r="H12" i="8"/>
  <c r="H19" i="8"/>
  <c r="H12" i="6"/>
  <c r="G12" i="44"/>
  <c r="F11" i="42"/>
  <c r="E13" i="42"/>
  <c r="G11" i="42"/>
  <c r="G12" i="40"/>
  <c r="F15" i="40"/>
  <c r="H12" i="40"/>
  <c r="G11" i="58"/>
  <c r="G14" i="58"/>
  <c r="H12" i="39"/>
  <c r="H20" i="39"/>
  <c r="G12" i="38"/>
  <c r="F19" i="38"/>
  <c r="C13" i="57"/>
  <c r="J8" i="57" s="1"/>
  <c r="C14" i="57"/>
  <c r="C15" i="57"/>
  <c r="C16" i="57"/>
  <c r="F16" i="57"/>
  <c r="C17" i="57"/>
  <c r="C18" i="57"/>
  <c r="F18" i="57" s="1"/>
  <c r="C19" i="57"/>
  <c r="F19" i="57" s="1"/>
  <c r="C13" i="56"/>
  <c r="C14" i="56"/>
  <c r="C15" i="56"/>
  <c r="F15" i="56"/>
  <c r="C16" i="56"/>
  <c r="F16" i="56"/>
  <c r="C17" i="56"/>
  <c r="F17" i="56"/>
  <c r="C18" i="56"/>
  <c r="F18" i="56"/>
  <c r="G12" i="37"/>
  <c r="F15" i="37"/>
  <c r="H12" i="36"/>
  <c r="H13" i="36"/>
  <c r="F17" i="36"/>
  <c r="F18" i="36"/>
  <c r="F19" i="36"/>
  <c r="F20" i="36"/>
  <c r="F21" i="36"/>
  <c r="F22" i="36"/>
  <c r="G12" i="35"/>
  <c r="F16" i="35"/>
  <c r="G11" i="34"/>
  <c r="G10" i="33"/>
  <c r="H12" i="32"/>
  <c r="G8" i="50"/>
  <c r="F18" i="50"/>
  <c r="H8" i="50"/>
  <c r="G12" i="31"/>
  <c r="F18" i="31" s="1"/>
  <c r="F14" i="31"/>
  <c r="H12" i="31"/>
  <c r="G10" i="45"/>
  <c r="G12" i="55"/>
  <c r="F17" i="55" s="1"/>
  <c r="H12" i="55"/>
  <c r="I12" i="55"/>
  <c r="C13" i="55"/>
  <c r="F13" i="55" s="1"/>
  <c r="C14" i="55"/>
  <c r="C15" i="55"/>
  <c r="I15" i="55"/>
  <c r="F15" i="55"/>
  <c r="I17" i="55"/>
  <c r="F18" i="55"/>
  <c r="C19" i="55"/>
  <c r="G12" i="30"/>
  <c r="H12" i="30"/>
  <c r="H18" i="30"/>
  <c r="I12" i="30"/>
  <c r="H16" i="30"/>
  <c r="G12" i="28"/>
  <c r="F20" i="28"/>
  <c r="H12" i="28"/>
  <c r="H16" i="28" s="1"/>
  <c r="H14" i="28"/>
  <c r="H18" i="28"/>
  <c r="F12" i="27"/>
  <c r="G12" i="27"/>
  <c r="G14" i="27" s="1"/>
  <c r="G15" i="27"/>
  <c r="G16" i="27"/>
  <c r="H12" i="26"/>
  <c r="F12" i="25"/>
  <c r="F12" i="59"/>
  <c r="E20" i="59"/>
  <c r="E13" i="23"/>
  <c r="E14" i="23"/>
  <c r="E15" i="23"/>
  <c r="E16" i="23"/>
  <c r="E17" i="23"/>
  <c r="E18" i="23"/>
  <c r="E19" i="23"/>
  <c r="E20" i="23"/>
  <c r="E13" i="22"/>
  <c r="G13" i="22"/>
  <c r="E14" i="22"/>
  <c r="G14" i="22"/>
  <c r="E15" i="22"/>
  <c r="G15" i="22"/>
  <c r="E16" i="22"/>
  <c r="G16" i="22"/>
  <c r="E17" i="22"/>
  <c r="G17" i="22"/>
  <c r="E18" i="22"/>
  <c r="G18" i="22"/>
  <c r="E19" i="22"/>
  <c r="G19" i="22"/>
  <c r="G20" i="22"/>
  <c r="G12" i="21"/>
  <c r="F10" i="53"/>
  <c r="G10" i="53"/>
  <c r="F10" i="52"/>
  <c r="F11" i="52"/>
  <c r="G10" i="52"/>
  <c r="G17" i="52"/>
  <c r="F10" i="51"/>
  <c r="G10" i="51"/>
  <c r="G13" i="20"/>
  <c r="F21" i="20" s="1"/>
  <c r="F19" i="20"/>
  <c r="F12" i="19"/>
  <c r="G12" i="19"/>
  <c r="E16" i="19"/>
  <c r="E17" i="19"/>
  <c r="F11" i="18"/>
  <c r="E17" i="18" s="1"/>
  <c r="G11" i="18"/>
  <c r="G17" i="18"/>
  <c r="G12" i="17"/>
  <c r="F17" i="17"/>
  <c r="G12" i="16"/>
  <c r="G12" i="15"/>
  <c r="H12" i="15"/>
  <c r="H15" i="15"/>
  <c r="F16" i="15"/>
  <c r="G12" i="14"/>
  <c r="G10" i="46"/>
  <c r="F12" i="46"/>
  <c r="H12" i="13"/>
  <c r="H16" i="13" s="1"/>
  <c r="H20" i="13"/>
  <c r="J11" i="54"/>
  <c r="I13" i="54" s="1"/>
  <c r="G12" i="54"/>
  <c r="F13" i="54"/>
  <c r="H13" i="54"/>
  <c r="F14" i="54"/>
  <c r="F15" i="54"/>
  <c r="F17" i="54"/>
  <c r="F19" i="54"/>
  <c r="F20" i="54"/>
  <c r="F21" i="54"/>
  <c r="G13" i="11"/>
  <c r="F14" i="11"/>
  <c r="H13" i="11"/>
  <c r="F18" i="11"/>
  <c r="F20" i="11"/>
  <c r="F21" i="11"/>
  <c r="G13" i="10"/>
  <c r="F15" i="10"/>
  <c r="F14" i="10"/>
  <c r="H13" i="10"/>
  <c r="F16" i="10"/>
  <c r="F18" i="10"/>
  <c r="F19" i="10"/>
  <c r="F23" i="10"/>
  <c r="G11" i="9"/>
  <c r="F15" i="9" s="1"/>
  <c r="H11" i="9"/>
  <c r="H18" i="9" s="1"/>
  <c r="H13" i="9"/>
  <c r="H12" i="9"/>
  <c r="H16" i="9"/>
  <c r="F18" i="9"/>
  <c r="G12" i="8"/>
  <c r="G12" i="7"/>
  <c r="F13" i="7"/>
  <c r="F17" i="7"/>
  <c r="G12" i="6"/>
  <c r="G13" i="5"/>
  <c r="F16" i="5"/>
  <c r="F18" i="5"/>
  <c r="F22" i="5"/>
  <c r="G13" i="4"/>
  <c r="F17" i="4"/>
  <c r="F21" i="4"/>
  <c r="G11" i="3"/>
  <c r="F12" i="2"/>
  <c r="E15" i="2"/>
  <c r="E17" i="2"/>
  <c r="E19" i="2"/>
  <c r="E21" i="2"/>
  <c r="E23" i="2"/>
  <c r="G12" i="1"/>
  <c r="H12" i="1"/>
  <c r="H20" i="1"/>
  <c r="H19" i="43"/>
  <c r="H20" i="43"/>
  <c r="F19" i="43"/>
  <c r="F18" i="43"/>
  <c r="E13" i="2"/>
  <c r="F15" i="17"/>
  <c r="H19" i="28"/>
  <c r="H15" i="28"/>
  <c r="H14" i="30"/>
  <c r="F19" i="31"/>
  <c r="F17" i="31"/>
  <c r="F15" i="31"/>
  <c r="F15" i="57"/>
  <c r="H20" i="8"/>
  <c r="H16" i="8"/>
  <c r="H15" i="30"/>
  <c r="H11" i="50"/>
  <c r="F21" i="37"/>
  <c r="F17" i="37"/>
  <c r="F19" i="40"/>
  <c r="H15" i="8"/>
  <c r="H18" i="8"/>
  <c r="H15" i="7"/>
  <c r="H17" i="30"/>
  <c r="H19" i="32"/>
  <c r="F23" i="37"/>
  <c r="F19" i="37"/>
  <c r="F23" i="57"/>
  <c r="F19" i="21"/>
  <c r="F20" i="21"/>
  <c r="F15" i="21"/>
  <c r="F14" i="5"/>
  <c r="F19" i="5"/>
  <c r="F15" i="5"/>
  <c r="F20" i="5"/>
  <c r="F17" i="5"/>
  <c r="G16" i="18"/>
  <c r="G12" i="51"/>
  <c r="G14" i="51"/>
  <c r="F13" i="30"/>
  <c r="F17" i="30"/>
  <c r="F14" i="30"/>
  <c r="F16" i="30"/>
  <c r="F18" i="30"/>
  <c r="I16" i="55"/>
  <c r="I18" i="55"/>
  <c r="F22" i="57"/>
  <c r="G13" i="18"/>
  <c r="G13" i="27"/>
  <c r="G17" i="27"/>
  <c r="G19" i="27" s="1"/>
  <c r="F15" i="41"/>
  <c r="F20" i="57"/>
  <c r="F14" i="21"/>
  <c r="F13" i="15"/>
  <c r="G15" i="18"/>
  <c r="H12" i="50"/>
  <c r="H13" i="39"/>
  <c r="H14" i="39"/>
  <c r="H18" i="39"/>
  <c r="H15" i="39"/>
  <c r="E12" i="42"/>
  <c r="E14" i="42"/>
  <c r="E16" i="42"/>
  <c r="E18" i="42"/>
  <c r="E20" i="42"/>
  <c r="F18" i="14"/>
  <c r="G18" i="52"/>
  <c r="G14" i="52"/>
  <c r="E15" i="25"/>
  <c r="H15" i="55"/>
  <c r="F15" i="34"/>
  <c r="F16" i="37"/>
  <c r="G12" i="58"/>
  <c r="H14" i="43"/>
  <c r="F19" i="7"/>
  <c r="F15" i="7"/>
  <c r="H19" i="9"/>
  <c r="H17" i="9"/>
  <c r="F21" i="10"/>
  <c r="G17" i="53"/>
  <c r="G13" i="53"/>
  <c r="F17" i="38"/>
  <c r="H14" i="8"/>
  <c r="H13" i="41"/>
  <c r="F18" i="7"/>
  <c r="H18" i="15"/>
  <c r="H15" i="41"/>
  <c r="H14" i="41"/>
  <c r="F21" i="56"/>
  <c r="F22" i="56"/>
  <c r="F19" i="56"/>
  <c r="F20" i="56"/>
  <c r="F14" i="56"/>
  <c r="G18" i="27"/>
  <c r="G20" i="27"/>
  <c r="G14" i="12"/>
  <c r="G13" i="12"/>
  <c r="H13" i="12" s="1"/>
  <c r="F23" i="56"/>
  <c r="F21" i="57"/>
  <c r="F17" i="57"/>
  <c r="F14" i="57"/>
  <c r="F24" i="57"/>
  <c r="F14" i="4"/>
  <c r="F16" i="4"/>
  <c r="F18" i="4"/>
  <c r="F20" i="4"/>
  <c r="F22" i="4"/>
  <c r="F14" i="46"/>
  <c r="F21" i="14"/>
  <c r="F16" i="16"/>
  <c r="F14" i="17"/>
  <c r="F16" i="17"/>
  <c r="F20" i="17"/>
  <c r="E15" i="18"/>
  <c r="E18" i="18"/>
  <c r="G19" i="19"/>
  <c r="E16" i="59"/>
  <c r="E22" i="59"/>
  <c r="E19" i="25"/>
  <c r="E14" i="25"/>
  <c r="E15" i="27"/>
  <c r="E17" i="25"/>
  <c r="F14" i="14"/>
  <c r="F13" i="46"/>
  <c r="E14" i="2"/>
  <c r="E16" i="2"/>
  <c r="E18" i="2"/>
  <c r="E20" i="2"/>
  <c r="E22" i="2"/>
  <c r="F23" i="4"/>
  <c r="F19" i="4"/>
  <c r="F15" i="4"/>
  <c r="H19" i="13"/>
  <c r="H15" i="13"/>
  <c r="H14" i="15"/>
  <c r="H20" i="15"/>
  <c r="F13" i="17"/>
  <c r="E14" i="19"/>
  <c r="F19" i="51"/>
  <c r="G12" i="52"/>
  <c r="G19" i="52"/>
  <c r="G13" i="52"/>
  <c r="F13" i="21"/>
  <c r="E16" i="25"/>
  <c r="H13" i="28"/>
  <c r="H20" i="28"/>
  <c r="H17" i="28"/>
  <c r="C17" i="12"/>
  <c r="F15" i="50"/>
  <c r="H15" i="36"/>
  <c r="F24" i="37"/>
  <c r="E21" i="42"/>
  <c r="E19" i="42"/>
  <c r="E17" i="42"/>
  <c r="E15" i="42"/>
  <c r="E16" i="18"/>
  <c r="E19" i="18"/>
  <c r="G12" i="53"/>
  <c r="G16" i="53"/>
  <c r="F10" i="50"/>
  <c r="F16" i="50"/>
  <c r="F20" i="50"/>
  <c r="F13" i="35"/>
  <c r="F17" i="35"/>
  <c r="F19" i="35"/>
  <c r="F21" i="35"/>
  <c r="H17" i="36"/>
  <c r="H18" i="36"/>
  <c r="H20" i="36"/>
  <c r="H22" i="36"/>
  <c r="H13" i="40"/>
  <c r="H14" i="40"/>
  <c r="F17" i="50"/>
  <c r="E14" i="27"/>
  <c r="E14" i="18"/>
  <c r="E13" i="27"/>
  <c r="G18" i="19"/>
  <c r="G16" i="19"/>
  <c r="H16" i="15"/>
  <c r="G15" i="53"/>
  <c r="G19" i="53"/>
  <c r="H13" i="15"/>
  <c r="F19" i="28"/>
  <c r="F14" i="41"/>
  <c r="F15" i="28"/>
  <c r="H17" i="40"/>
  <c r="H21" i="40"/>
  <c r="H16" i="7"/>
  <c r="G15" i="58"/>
  <c r="F14" i="7"/>
  <c r="F16" i="7"/>
  <c r="F20" i="7"/>
  <c r="F15" i="20"/>
  <c r="F16" i="20"/>
  <c r="F22" i="20"/>
  <c r="G14" i="53"/>
  <c r="F11" i="53"/>
  <c r="E20" i="27"/>
  <c r="H13" i="30"/>
  <c r="H19" i="30"/>
  <c r="F13" i="31"/>
  <c r="F16" i="31"/>
  <c r="F20" i="31"/>
  <c r="F18" i="35"/>
  <c r="F14" i="35"/>
  <c r="H14" i="36"/>
  <c r="H18" i="44"/>
  <c r="F14" i="43"/>
  <c r="F21" i="43"/>
  <c r="F17" i="43"/>
  <c r="F20" i="43"/>
  <c r="F16" i="43"/>
  <c r="H17" i="1"/>
  <c r="F14" i="55"/>
  <c r="I14" i="55"/>
  <c r="F12" i="33"/>
  <c r="H16" i="6"/>
  <c r="H14" i="6"/>
  <c r="H17" i="6"/>
  <c r="H13" i="44"/>
  <c r="H15" i="44"/>
  <c r="F19" i="33"/>
  <c r="F14" i="8"/>
  <c r="H20" i="44"/>
  <c r="H15" i="6"/>
  <c r="F17" i="1"/>
  <c r="F19" i="1"/>
  <c r="F12" i="9"/>
  <c r="F13" i="9"/>
  <c r="F16" i="9"/>
  <c r="F14" i="9"/>
  <c r="F19" i="9"/>
  <c r="E13" i="18"/>
  <c r="E12" i="18"/>
  <c r="F17" i="52"/>
  <c r="E16" i="27"/>
  <c r="E17" i="27"/>
  <c r="F12" i="45"/>
  <c r="F11" i="45"/>
  <c r="F18" i="34"/>
  <c r="F20" i="37"/>
  <c r="F22" i="37"/>
  <c r="F13" i="37"/>
  <c r="F18" i="37"/>
  <c r="H18" i="7"/>
  <c r="H13" i="7"/>
  <c r="H17" i="7"/>
  <c r="H18" i="43"/>
  <c r="H21" i="43"/>
  <c r="H17" i="43"/>
  <c r="H16" i="43"/>
  <c r="H16" i="44"/>
  <c r="H14" i="31"/>
  <c r="E18" i="27"/>
  <c r="H22" i="43"/>
  <c r="H15" i="43"/>
  <c r="F11" i="33"/>
  <c r="H19" i="44"/>
  <c r="H18" i="6"/>
  <c r="F16" i="45"/>
  <c r="H18" i="1"/>
  <c r="F17" i="9"/>
  <c r="F19" i="14"/>
  <c r="F20" i="14"/>
  <c r="F22" i="14"/>
  <c r="F17" i="51"/>
  <c r="F14" i="51"/>
  <c r="F17" i="53"/>
  <c r="F15" i="53"/>
  <c r="H18" i="55"/>
  <c r="H16" i="32"/>
  <c r="H18" i="32"/>
  <c r="H21" i="32"/>
  <c r="H14" i="32"/>
  <c r="H17" i="32"/>
  <c r="H16" i="40"/>
  <c r="H19" i="40"/>
  <c r="H20" i="40"/>
  <c r="H18" i="40"/>
  <c r="H15" i="40"/>
  <c r="H13" i="43"/>
  <c r="H20" i="7"/>
  <c r="H17" i="44"/>
  <c r="E19" i="27"/>
  <c r="F17" i="14"/>
  <c r="H18" i="12"/>
  <c r="H19" i="7"/>
  <c r="H13" i="32"/>
  <c r="F14" i="37"/>
  <c r="F17" i="8"/>
  <c r="H13" i="13"/>
  <c r="H17" i="13"/>
  <c r="H18" i="13"/>
  <c r="H14" i="13"/>
  <c r="F14" i="16"/>
  <c r="G15" i="19"/>
  <c r="G20" i="19"/>
  <c r="G14" i="19"/>
  <c r="F23" i="20"/>
  <c r="F20" i="20"/>
  <c r="F17" i="20"/>
  <c r="F17" i="21"/>
  <c r="F18" i="21"/>
  <c r="F16" i="21"/>
  <c r="H19" i="50"/>
  <c r="H16" i="39"/>
  <c r="H17" i="39"/>
  <c r="H19" i="39"/>
  <c r="G21" i="42"/>
  <c r="G16" i="42"/>
  <c r="F16" i="41"/>
  <c r="F13" i="41"/>
  <c r="H14" i="44"/>
  <c r="F13" i="43"/>
  <c r="F14" i="50"/>
  <c r="G17" i="58"/>
  <c r="H19" i="36"/>
  <c r="F12" i="50"/>
  <c r="F19" i="50"/>
  <c r="E15" i="19"/>
  <c r="H15" i="9"/>
  <c r="F21" i="5"/>
  <c r="F23" i="5"/>
  <c r="F21" i="31"/>
  <c r="F20" i="10"/>
  <c r="F23" i="11"/>
  <c r="F19" i="11"/>
  <c r="F22" i="54"/>
  <c r="F18" i="54"/>
  <c r="F16" i="54"/>
  <c r="E18" i="19"/>
  <c r="I15" i="30" l="1"/>
  <c r="I16" i="30"/>
  <c r="I19" i="30"/>
  <c r="I13" i="30"/>
  <c r="I17" i="30"/>
  <c r="I19" i="55"/>
  <c r="F19" i="55"/>
  <c r="J8" i="56"/>
  <c r="F13" i="56"/>
  <c r="H23" i="12"/>
  <c r="H19" i="12"/>
  <c r="H22" i="12"/>
  <c r="H20" i="12"/>
  <c r="I16" i="54"/>
  <c r="G16" i="54"/>
  <c r="I13" i="55"/>
  <c r="F13" i="57"/>
  <c r="H16" i="1"/>
  <c r="H13" i="1"/>
  <c r="H14" i="1"/>
  <c r="H15" i="1"/>
  <c r="F13" i="6"/>
  <c r="F18" i="6"/>
  <c r="F14" i="6"/>
  <c r="F19" i="6"/>
  <c r="F17" i="6"/>
  <c r="F16" i="8"/>
  <c r="F13" i="8"/>
  <c r="F20" i="8"/>
  <c r="F18" i="8"/>
  <c r="F20" i="15"/>
  <c r="F15" i="15"/>
  <c r="F18" i="15"/>
  <c r="F17" i="15"/>
  <c r="F19" i="15"/>
  <c r="F18" i="53"/>
  <c r="F12" i="53"/>
  <c r="F13" i="53"/>
  <c r="F19" i="53"/>
  <c r="F16" i="53"/>
  <c r="F19" i="45"/>
  <c r="F15" i="45"/>
  <c r="F21" i="45"/>
  <c r="F20" i="45"/>
  <c r="F18" i="45"/>
  <c r="F17" i="45"/>
  <c r="F13" i="45"/>
  <c r="F14" i="45"/>
  <c r="H10" i="50"/>
  <c r="H18" i="50"/>
  <c r="H9" i="50"/>
  <c r="H17" i="50"/>
  <c r="H15" i="50"/>
  <c r="H16" i="50"/>
  <c r="F15" i="33"/>
  <c r="F18" i="33"/>
  <c r="F17" i="33"/>
  <c r="F14" i="33"/>
  <c r="F13" i="33"/>
  <c r="F17" i="40"/>
  <c r="F13" i="40"/>
  <c r="F14" i="40"/>
  <c r="F18" i="40"/>
  <c r="F17" i="44"/>
  <c r="F14" i="44"/>
  <c r="F20" i="44"/>
  <c r="F16" i="44"/>
  <c r="F19" i="44"/>
  <c r="F15" i="44"/>
  <c r="F18" i="41"/>
  <c r="F17" i="41"/>
  <c r="F20" i="41"/>
  <c r="F21" i="41"/>
  <c r="F20" i="40"/>
  <c r="F13" i="44"/>
  <c r="H20" i="50"/>
  <c r="F16" i="6"/>
  <c r="F14" i="53"/>
  <c r="F19" i="41"/>
  <c r="H21" i="12"/>
  <c r="H14" i="50"/>
  <c r="F20" i="6"/>
  <c r="F21" i="40"/>
  <c r="H13" i="50"/>
  <c r="F16" i="1"/>
  <c r="F13" i="1"/>
  <c r="F20" i="1"/>
  <c r="F15" i="1"/>
  <c r="F18" i="1"/>
  <c r="H15" i="54"/>
  <c r="I15" i="54"/>
  <c r="F14" i="15"/>
  <c r="F18" i="16"/>
  <c r="F19" i="16"/>
  <c r="F17" i="16"/>
  <c r="F15" i="16"/>
  <c r="F20" i="16"/>
  <c r="F13" i="16"/>
  <c r="G19" i="18"/>
  <c r="G18" i="18"/>
  <c r="G12" i="18"/>
  <c r="G14" i="18"/>
  <c r="G17" i="51"/>
  <c r="G19" i="51"/>
  <c r="G13" i="51"/>
  <c r="G18" i="51"/>
  <c r="G15" i="51"/>
  <c r="G16" i="51"/>
  <c r="F17" i="28"/>
  <c r="F18" i="28"/>
  <c r="F13" i="28"/>
  <c r="F16" i="28"/>
  <c r="H13" i="55"/>
  <c r="H20" i="31"/>
  <c r="H19" i="31"/>
  <c r="H13" i="31"/>
  <c r="H17" i="31"/>
  <c r="H18" i="31"/>
  <c r="H16" i="31"/>
  <c r="H21" i="31"/>
  <c r="H15" i="31"/>
  <c r="F17" i="34"/>
  <c r="F19" i="34"/>
  <c r="F20" i="34"/>
  <c r="F14" i="34"/>
  <c r="F12" i="34"/>
  <c r="F13" i="38"/>
  <c r="F14" i="38"/>
  <c r="F15" i="38"/>
  <c r="F22" i="38"/>
  <c r="F23" i="38"/>
  <c r="F18" i="38"/>
  <c r="F20" i="38"/>
  <c r="F21" i="38"/>
  <c r="G20" i="58"/>
  <c r="G21" i="58"/>
  <c r="G19" i="58"/>
  <c r="G13" i="58"/>
  <c r="G18" i="58"/>
  <c r="G22" i="58"/>
  <c r="G17" i="42"/>
  <c r="G18" i="42"/>
  <c r="G12" i="42"/>
  <c r="G20" i="42"/>
  <c r="G15" i="42"/>
  <c r="G19" i="42"/>
  <c r="G14" i="42"/>
  <c r="G13" i="42"/>
  <c r="H13" i="6"/>
  <c r="H19" i="6"/>
  <c r="H20" i="6"/>
  <c r="H16" i="54"/>
  <c r="F18" i="44"/>
  <c r="F14" i="1"/>
  <c r="F14" i="28"/>
  <c r="F19" i="8"/>
  <c r="I18" i="30"/>
  <c r="F15" i="8"/>
  <c r="F16" i="34"/>
  <c r="F16" i="33"/>
  <c r="H19" i="1"/>
  <c r="F15" i="6"/>
  <c r="G16" i="58"/>
  <c r="F16" i="38"/>
  <c r="F16" i="40"/>
  <c r="I14" i="30"/>
  <c r="G11" i="51"/>
  <c r="F13" i="34"/>
  <c r="H14" i="54"/>
  <c r="I14" i="54"/>
  <c r="F16" i="46"/>
  <c r="F15" i="46"/>
  <c r="F17" i="46"/>
  <c r="F11" i="46"/>
  <c r="E20" i="19"/>
  <c r="E13" i="19"/>
  <c r="E19" i="19"/>
  <c r="F13" i="51"/>
  <c r="F11" i="51"/>
  <c r="F15" i="51"/>
  <c r="F12" i="51"/>
  <c r="F18" i="51"/>
  <c r="F16" i="51"/>
  <c r="F16" i="52"/>
  <c r="F19" i="52"/>
  <c r="F14" i="52"/>
  <c r="F18" i="52"/>
  <c r="F12" i="52"/>
  <c r="F13" i="52"/>
  <c r="F15" i="52"/>
  <c r="H14" i="55"/>
  <c r="H16" i="55"/>
  <c r="H19" i="55"/>
  <c r="H17" i="55"/>
  <c r="F15" i="11"/>
  <c r="F17" i="11"/>
  <c r="F22" i="11"/>
  <c r="F16" i="14"/>
  <c r="F13" i="14"/>
  <c r="F15" i="14"/>
  <c r="G13" i="19"/>
  <c r="G17" i="19"/>
  <c r="E19" i="59"/>
  <c r="E21" i="59"/>
  <c r="E13" i="59"/>
  <c r="F9" i="50"/>
  <c r="F13" i="50"/>
  <c r="H20" i="41"/>
  <c r="H19" i="41"/>
  <c r="H18" i="41"/>
  <c r="H21" i="41"/>
  <c r="E18" i="59"/>
  <c r="E14" i="59"/>
  <c r="F14" i="20"/>
  <c r="F23" i="14"/>
  <c r="F18" i="20"/>
  <c r="F11" i="50"/>
  <c r="E15" i="59"/>
  <c r="E17" i="59"/>
  <c r="H17" i="41"/>
  <c r="H14" i="9"/>
  <c r="F22" i="10"/>
  <c r="F17" i="10"/>
  <c r="F16" i="11"/>
  <c r="H17" i="15"/>
  <c r="H19" i="15"/>
  <c r="F18" i="17"/>
  <c r="F19" i="17"/>
  <c r="G15" i="52"/>
  <c r="G16" i="52"/>
  <c r="G11" i="52"/>
  <c r="G18" i="53"/>
  <c r="G11" i="53"/>
  <c r="E18" i="25"/>
  <c r="E13" i="25"/>
  <c r="F15" i="30"/>
  <c r="F19" i="30"/>
  <c r="F16" i="55"/>
  <c r="H15" i="32"/>
  <c r="H20" i="32"/>
  <c r="F20" i="35"/>
  <c r="F15" i="35"/>
  <c r="H16" i="36"/>
  <c r="H21" i="36"/>
  <c r="H17" i="8"/>
  <c r="H13" i="8"/>
</calcChain>
</file>

<file path=xl/comments1.xml><?xml version="1.0" encoding="utf-8"?>
<comments xmlns="http://schemas.openxmlformats.org/spreadsheetml/2006/main">
  <authors>
    <author>farida lalouni</author>
  </authors>
  <commentList>
    <comment ref="C23" authorId="0" shapeId="0">
      <text>
        <r>
          <rPr>
            <b/>
            <sz val="9"/>
            <color indexed="81"/>
            <rFont val="Tahoma"/>
            <family val="2"/>
          </rPr>
          <t>farida lalouni:</t>
        </r>
        <r>
          <rPr>
            <sz val="9"/>
            <color indexed="81"/>
            <rFont val="Tahoma"/>
            <family val="2"/>
          </rPr>
          <t xml:space="preserve">
absence dans le fichier de ref</t>
        </r>
      </text>
    </comment>
  </commentList>
</comments>
</file>

<file path=xl/comments2.xml><?xml version="1.0" encoding="utf-8"?>
<comments xmlns="http://schemas.openxmlformats.org/spreadsheetml/2006/main">
  <authors>
    <author>farida lalouni</author>
  </authors>
  <commentList>
    <comment ref="C18" authorId="0" shapeId="0">
      <text>
        <r>
          <rPr>
            <b/>
            <sz val="9"/>
            <color indexed="81"/>
            <rFont val="Tahoma"/>
            <family val="2"/>
          </rPr>
          <t>farida lalouni:</t>
        </r>
        <r>
          <rPr>
            <sz val="9"/>
            <color indexed="81"/>
            <rFont val="Tahoma"/>
            <family val="2"/>
          </rPr>
          <t xml:space="preserve">
 difference avec le fichier de ref</t>
        </r>
      </text>
    </comment>
  </commentList>
</comments>
</file>

<file path=xl/comments3.xml><?xml version="1.0" encoding="utf-8"?>
<comments xmlns="http://schemas.openxmlformats.org/spreadsheetml/2006/main">
  <authors>
    <author>farida lalouni</author>
  </authors>
  <commentList>
    <comment ref="C17" authorId="0" shapeId="0">
      <text>
        <r>
          <rPr>
            <b/>
            <sz val="9"/>
            <color indexed="81"/>
            <rFont val="Tahoma"/>
            <family val="2"/>
          </rPr>
          <t>farida lalouni:</t>
        </r>
        <r>
          <rPr>
            <sz val="9"/>
            <color indexed="81"/>
            <rFont val="Tahoma"/>
            <family val="2"/>
          </rPr>
          <t xml:space="preserve">
 difference avec le fichier de ref</t>
        </r>
      </text>
    </comment>
  </commentList>
</comments>
</file>

<file path=xl/comments4.xml><?xml version="1.0" encoding="utf-8"?>
<comments xmlns="http://schemas.openxmlformats.org/spreadsheetml/2006/main">
  <authors>
    <author>farida lalouni</author>
  </authors>
  <commentList>
    <comment ref="F13" authorId="0" shapeId="0">
      <text>
        <r>
          <rPr>
            <b/>
            <sz val="9"/>
            <color indexed="81"/>
            <rFont val="Tahoma"/>
            <family val="2"/>
          </rPr>
          <t>farida lalouni: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farida lalouni</author>
  </authors>
  <commentList>
    <comment ref="C19" authorId="0" shapeId="0">
      <text>
        <r>
          <rPr>
            <b/>
            <sz val="9"/>
            <color indexed="81"/>
            <rFont val="Tahoma"/>
            <family val="2"/>
          </rPr>
          <t>farida lalouni:</t>
        </r>
        <r>
          <rPr>
            <sz val="9"/>
            <color indexed="81"/>
            <rFont val="Tahoma"/>
            <family val="2"/>
          </rPr>
          <t xml:space="preserve">
absence valeur dans le fichier de ref</t>
        </r>
      </text>
    </comment>
  </commentList>
</comments>
</file>

<file path=xl/comments6.xml><?xml version="1.0" encoding="utf-8"?>
<comments xmlns="http://schemas.openxmlformats.org/spreadsheetml/2006/main">
  <authors>
    <author>farida lalouni</author>
  </authors>
  <commentList>
    <comment ref="C22" authorId="0" shapeId="0">
      <text>
        <r>
          <rPr>
            <b/>
            <sz val="9"/>
            <color indexed="81"/>
            <rFont val="Tahoma"/>
            <family val="2"/>
          </rPr>
          <t>farida lalouni:</t>
        </r>
        <r>
          <rPr>
            <sz val="9"/>
            <color indexed="81"/>
            <rFont val="Tahoma"/>
            <family val="2"/>
          </rPr>
          <t xml:space="preserve">
absence valeur dans le fichier de ref</t>
        </r>
      </text>
    </comment>
  </commentList>
</comments>
</file>

<file path=xl/comments7.xml><?xml version="1.0" encoding="utf-8"?>
<comments xmlns="http://schemas.openxmlformats.org/spreadsheetml/2006/main">
  <authors>
    <author>farida lalouni</author>
  </authors>
  <commentList>
    <comment ref="C18" authorId="0" shapeId="0">
      <text>
        <r>
          <rPr>
            <b/>
            <sz val="9"/>
            <color indexed="81"/>
            <rFont val="Tahoma"/>
            <family val="2"/>
          </rPr>
          <t>farida lalouni:</t>
        </r>
        <r>
          <rPr>
            <sz val="9"/>
            <color indexed="81"/>
            <rFont val="Tahoma"/>
            <family val="2"/>
          </rPr>
          <t xml:space="preserve">
défference avec le fichier de ref</t>
        </r>
      </text>
    </comment>
  </commentList>
</comments>
</file>

<file path=xl/comments8.xml><?xml version="1.0" encoding="utf-8"?>
<comments xmlns="http://schemas.openxmlformats.org/spreadsheetml/2006/main">
  <authors>
    <author>farida lalouni</author>
  </authors>
  <commentList>
    <comment ref="C13" authorId="0" shapeId="0">
      <text>
        <r>
          <rPr>
            <b/>
            <sz val="9"/>
            <color indexed="81"/>
            <rFont val="Tahoma"/>
            <family val="2"/>
          </rPr>
          <t>farida lalouni:</t>
        </r>
        <r>
          <rPr>
            <sz val="9"/>
            <color indexed="81"/>
            <rFont val="Tahoma"/>
            <family val="2"/>
          </rPr>
          <t xml:space="preserve">
absence de valeur dans le fichier de ref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farida lalouni:</t>
        </r>
        <r>
          <rPr>
            <sz val="9"/>
            <color indexed="81"/>
            <rFont val="Tahoma"/>
            <family val="2"/>
          </rPr>
          <t xml:space="preserve">
absence de valeur dans le fichier de reference</t>
        </r>
      </text>
    </comment>
  </commentList>
</comments>
</file>

<file path=xl/comments9.xml><?xml version="1.0" encoding="utf-8"?>
<comments xmlns="http://schemas.openxmlformats.org/spreadsheetml/2006/main">
  <authors>
    <author>farida lalouni</author>
  </authors>
  <commentList>
    <comment ref="C13" authorId="0" shapeId="0">
      <text>
        <r>
          <rPr>
            <b/>
            <sz val="9"/>
            <color indexed="81"/>
            <rFont val="Tahoma"/>
            <family val="2"/>
          </rPr>
          <t>farida lalouni:</t>
        </r>
        <r>
          <rPr>
            <sz val="9"/>
            <color indexed="81"/>
            <rFont val="Tahoma"/>
            <family val="2"/>
          </rPr>
          <t xml:space="preserve">
absence de valeur dans le fichier de ref</t>
        </r>
      </text>
    </comment>
  </commentList>
</comments>
</file>

<file path=xl/comments10.xml><?xml version="1.0" encoding="utf-8"?>
<comments xmlns="http://schemas.openxmlformats.org/spreadsheetml/2006/main">
  <authors>
    <author>farida lalouni</author>
  </authors>
  <commentList>
    <comment ref="B14" authorId="0" shapeId="0">
      <text>
        <r>
          <rPr>
            <b/>
            <sz val="9"/>
            <color indexed="81"/>
            <rFont val="Tahoma"/>
            <family val="2"/>
          </rPr>
          <t>farida lalouni:</t>
        </r>
        <r>
          <rPr>
            <sz val="9"/>
            <color indexed="81"/>
            <rFont val="Tahoma"/>
            <family val="2"/>
          </rPr>
          <t xml:space="preserve">
defference avec le fichier de ref</t>
        </r>
      </text>
    </comment>
  </commentList>
</comments>
</file>

<file path=xl/comments11.xml><?xml version="1.0" encoding="utf-8"?>
<comments xmlns="http://schemas.openxmlformats.org/spreadsheetml/2006/main">
  <authors>
    <author>farida lalouni</author>
  </authors>
  <commentList>
    <comment ref="B15" authorId="0" shapeId="0">
      <text>
        <r>
          <rPr>
            <b/>
            <sz val="9"/>
            <color indexed="81"/>
            <rFont val="Tahoma"/>
            <family val="2"/>
          </rPr>
          <t>farida lalouni:</t>
        </r>
        <r>
          <rPr>
            <sz val="9"/>
            <color indexed="81"/>
            <rFont val="Tahoma"/>
            <family val="2"/>
          </rPr>
          <t xml:space="preserve">
defference avec le fichier de ref</t>
        </r>
      </text>
    </comment>
  </commentList>
</comments>
</file>

<file path=xl/comments12.xml><?xml version="1.0" encoding="utf-8"?>
<comments xmlns="http://schemas.openxmlformats.org/spreadsheetml/2006/main">
  <authors>
    <author>farida lalouni</author>
  </authors>
  <commentList>
    <comment ref="C13" authorId="0" shapeId="0">
      <text>
        <r>
          <rPr>
            <b/>
            <sz val="9"/>
            <color indexed="81"/>
            <rFont val="Tahoma"/>
            <family val="2"/>
          </rPr>
          <t>farida lalouni:</t>
        </r>
        <r>
          <rPr>
            <sz val="9"/>
            <color indexed="81"/>
            <rFont val="Tahoma"/>
            <family val="2"/>
          </rPr>
          <t xml:space="preserve">
defference de valeur dans le fichier de ref</t>
        </r>
      </text>
    </comment>
  </commentList>
</comments>
</file>

<file path=xl/comments13.xml><?xml version="1.0" encoding="utf-8"?>
<comments xmlns="http://schemas.openxmlformats.org/spreadsheetml/2006/main">
  <authors>
    <author>farida lalouni</author>
  </authors>
  <commentList>
    <comment ref="C15" authorId="0" shapeId="0">
      <text>
        <r>
          <rPr>
            <b/>
            <sz val="9"/>
            <color indexed="81"/>
            <rFont val="Tahoma"/>
            <family val="2"/>
          </rPr>
          <t>farida lalouni:</t>
        </r>
        <r>
          <rPr>
            <sz val="9"/>
            <color indexed="81"/>
            <rFont val="Tahoma"/>
            <family val="2"/>
          </rPr>
          <t xml:space="preserve">
absence de valeur dans le fichier de ref</t>
        </r>
      </text>
    </comment>
  </commentList>
</comments>
</file>

<file path=xl/comments14.xml><?xml version="1.0" encoding="utf-8"?>
<comments xmlns="http://schemas.openxmlformats.org/spreadsheetml/2006/main">
  <authors>
    <author>farida lalouni</author>
  </authors>
  <commentList>
    <comment ref="C18" authorId="0" shapeId="0">
      <text>
        <r>
          <rPr>
            <b/>
            <sz val="9"/>
            <color indexed="81"/>
            <rFont val="Tahoma"/>
            <family val="2"/>
          </rPr>
          <t>farida lalouni:</t>
        </r>
        <r>
          <rPr>
            <sz val="9"/>
            <color indexed="81"/>
            <rFont val="Tahoma"/>
            <family val="2"/>
          </rPr>
          <t xml:space="preserve">
absence de valeur dans le fichier de ref</t>
        </r>
      </text>
    </comment>
  </commentList>
</comments>
</file>

<file path=xl/comments15.xml><?xml version="1.0" encoding="utf-8"?>
<comments xmlns="http://schemas.openxmlformats.org/spreadsheetml/2006/main">
  <authors>
    <author>farida lalouni</author>
  </authors>
  <commentList>
    <comment ref="C18" authorId="0" shapeId="0">
      <text>
        <r>
          <rPr>
            <b/>
            <sz val="9"/>
            <color indexed="81"/>
            <rFont val="Tahoma"/>
            <family val="2"/>
          </rPr>
          <t>farida lalouni:</t>
        </r>
        <r>
          <rPr>
            <sz val="9"/>
            <color indexed="81"/>
            <rFont val="Tahoma"/>
            <family val="2"/>
          </rPr>
          <t xml:space="preserve">
absence de valeur dans le fichier de ref</t>
        </r>
      </text>
    </comment>
  </commentList>
</comments>
</file>

<file path=xl/comments16.xml><?xml version="1.0" encoding="utf-8"?>
<comments xmlns="http://schemas.openxmlformats.org/spreadsheetml/2006/main">
  <authors>
    <author>farida lalouni</author>
  </authors>
  <commentList>
    <comment ref="C12" authorId="0" shapeId="0">
      <text>
        <r>
          <rPr>
            <b/>
            <sz val="9"/>
            <color indexed="81"/>
            <rFont val="Tahoma"/>
            <family val="2"/>
          </rPr>
          <t>farida lalouni:</t>
        </r>
        <r>
          <rPr>
            <sz val="9"/>
            <color indexed="81"/>
            <rFont val="Tahoma"/>
            <family val="2"/>
          </rPr>
          <t xml:space="preserve">
defference avec le fichier de ref</t>
        </r>
      </text>
    </comment>
    <comment ref="C18" authorId="0" shapeId="0">
      <text>
        <r>
          <rPr>
            <b/>
            <sz val="9"/>
            <color indexed="81"/>
            <rFont val="Tahoma"/>
            <family val="2"/>
          </rPr>
          <t>farida lalouni:</t>
        </r>
        <r>
          <rPr>
            <sz val="9"/>
            <color indexed="81"/>
            <rFont val="Tahoma"/>
            <family val="2"/>
          </rPr>
          <t xml:space="preserve">
absence valeur dans le fichier de ref</t>
        </r>
      </text>
    </comment>
  </commentList>
</comments>
</file>

<file path=xl/comments17.xml><?xml version="1.0" encoding="utf-8"?>
<comments xmlns="http://schemas.openxmlformats.org/spreadsheetml/2006/main">
  <authors>
    <author>farida lalouni</author>
  </authors>
  <commentList>
    <comment ref="C19" authorId="0" shapeId="0">
      <text>
        <r>
          <rPr>
            <b/>
            <sz val="9"/>
            <color indexed="81"/>
            <rFont val="Tahoma"/>
            <family val="2"/>
          </rPr>
          <t>farida lalouni:</t>
        </r>
        <r>
          <rPr>
            <sz val="9"/>
            <color indexed="81"/>
            <rFont val="Tahoma"/>
            <family val="2"/>
          </rPr>
          <t xml:space="preserve">
absence de valeur dans le fichier de ref</t>
        </r>
      </text>
    </comment>
  </commentList>
</comments>
</file>

<file path=xl/sharedStrings.xml><?xml version="1.0" encoding="utf-8"?>
<sst xmlns="http://schemas.openxmlformats.org/spreadsheetml/2006/main" count="3298" uniqueCount="671">
  <si>
    <t>FICHE ARTICLE</t>
  </si>
  <si>
    <t>DOSAGE/ SUPPO</t>
  </si>
  <si>
    <t>FORME</t>
  </si>
  <si>
    <t>Suppositoires</t>
  </si>
  <si>
    <t>CONTENANCE</t>
  </si>
  <si>
    <t>CONDITIONNEMENT</t>
  </si>
  <si>
    <t>CLASSE</t>
  </si>
  <si>
    <t>AN TI-INFLAMMAOIRES</t>
  </si>
  <si>
    <t>PRIX</t>
  </si>
  <si>
    <t>COMPOSITION/ BOITE</t>
  </si>
  <si>
    <t>PVC-PE SUPPOS BLANC</t>
  </si>
  <si>
    <t>PVC-PE IMPRIME</t>
  </si>
  <si>
    <t>ETUIS</t>
  </si>
  <si>
    <t>NOTICES</t>
  </si>
  <si>
    <t>VIGNETTES VERTES</t>
  </si>
  <si>
    <t>CARTONS D'EMBALLAGE F099</t>
  </si>
  <si>
    <t>REGLAGES</t>
  </si>
  <si>
    <t>TEMPERATURE CUVE</t>
  </si>
  <si>
    <t>TEMPERATURE POMPE</t>
  </si>
  <si>
    <t>TEMPERATURE FRIGO  B1</t>
  </si>
  <si>
    <t>TEMPERATURE FRIGO  B2</t>
  </si>
  <si>
    <t>TEMPERATURE FRIGO  T1</t>
  </si>
  <si>
    <t>TEMPERATURE FRIGO  T2</t>
  </si>
  <si>
    <t>VOLUME DOSEUR</t>
  </si>
  <si>
    <t>FORMAT</t>
  </si>
  <si>
    <t>VITESSE MACHINE</t>
  </si>
  <si>
    <t xml:space="preserve">TOLERANCE POIDS </t>
  </si>
  <si>
    <t>TOLERANCE DOSAGE</t>
  </si>
  <si>
    <t>ALPROFENE</t>
  </si>
  <si>
    <t>100 mg</t>
  </si>
  <si>
    <t>10 Suppos/Boite</t>
  </si>
  <si>
    <t xml:space="preserve">Cartons de 100 Boites </t>
  </si>
  <si>
    <t>SUPPOCIRE AM</t>
  </si>
  <si>
    <t>KETOPROFENE</t>
  </si>
  <si>
    <t>0.01</t>
  </si>
  <si>
    <t>02 BLISTERS DE 05</t>
  </si>
  <si>
    <t>AMLODEX</t>
  </si>
  <si>
    <t>05 mg</t>
  </si>
  <si>
    <t>Gélules</t>
  </si>
  <si>
    <t>Boites de 30 Gélules</t>
  </si>
  <si>
    <t>Carton de 200 Boites</t>
  </si>
  <si>
    <t>ANTIHYPERTENSEUR</t>
  </si>
  <si>
    <t>AMLODIPINE BESYLATE</t>
  </si>
  <si>
    <t>AMIDON DE MAIS</t>
  </si>
  <si>
    <t>STEARATE DE MG</t>
  </si>
  <si>
    <t>GALENIQ 960</t>
  </si>
  <si>
    <t>GELULES VIDES (T3)</t>
  </si>
  <si>
    <t>PVC-PVDC TRANSPARANT</t>
  </si>
  <si>
    <t>ALUMINIUM IMPRIME</t>
  </si>
  <si>
    <t>CARTONS D'EMBALLAGE F138</t>
  </si>
  <si>
    <t>0.005</t>
  </si>
  <si>
    <t>MIN POUDRE DS LA Z25 2,3KG</t>
  </si>
  <si>
    <t>ASPEVASC</t>
  </si>
  <si>
    <t>DOSAGE</t>
  </si>
  <si>
    <t>Comprimés</t>
  </si>
  <si>
    <t>Boites de 30 Comprimés</t>
  </si>
  <si>
    <t>ANTI-AGREGANT PLAQUETTAIRE</t>
  </si>
  <si>
    <t>ACIDE ACETYLSALYCILIQUE/PREM</t>
  </si>
  <si>
    <t>FORMAT COMPRIME</t>
  </si>
  <si>
    <t>FORCE COMPRESSION</t>
  </si>
  <si>
    <t>VITESSE COMPRIMEUSE</t>
  </si>
  <si>
    <t>FORMAT BLISTEREUSE</t>
  </si>
  <si>
    <t>VITESSE BLISTEREUSE</t>
  </si>
  <si>
    <t xml:space="preserve">TOLERANCE DOSAGE </t>
  </si>
  <si>
    <t>TOLERANCE POIDS</t>
  </si>
  <si>
    <t>CAPTOPRIL LS 25</t>
  </si>
  <si>
    <t>25 mg</t>
  </si>
  <si>
    <t>Carton de 100 Boites</t>
  </si>
  <si>
    <t>ANTIHYPERTENSEURS</t>
  </si>
  <si>
    <t>DUREE DE VIE</t>
  </si>
  <si>
    <t>3 ANS</t>
  </si>
  <si>
    <t xml:space="preserve">CAPTOPRIL </t>
  </si>
  <si>
    <t>LUDIPRESS</t>
  </si>
  <si>
    <t>KOLLIDON</t>
  </si>
  <si>
    <t>STEARATE DE MAGNESIUM</t>
  </si>
  <si>
    <t>CARTONS D'EMBALLAGE F140</t>
  </si>
  <si>
    <t>D7R8</t>
  </si>
  <si>
    <t>13,4 KN</t>
  </si>
  <si>
    <t>45000 C/ HEURE</t>
  </si>
  <si>
    <t>50 mg</t>
  </si>
  <si>
    <t>CETALGINE 100</t>
  </si>
  <si>
    <t>ANTALGIQUES / ANTIPYRETIQUES</t>
  </si>
  <si>
    <t>PARACETAMOL</t>
  </si>
  <si>
    <t>CETALGINE 150</t>
  </si>
  <si>
    <t>150 mg</t>
  </si>
  <si>
    <t>CETALGINE 200</t>
  </si>
  <si>
    <t>200 mg</t>
  </si>
  <si>
    <t>CETALGINE 300</t>
  </si>
  <si>
    <t>300 mg</t>
  </si>
  <si>
    <t>CLORAXENE 5</t>
  </si>
  <si>
    <t>DOSAGE/ GELULE</t>
  </si>
  <si>
    <t>5 mg</t>
  </si>
  <si>
    <t>ANXIOLYTIQUE</t>
  </si>
  <si>
    <t>CLORAZEPATE DIPOTASSIQUE</t>
  </si>
  <si>
    <t>CARBONATE DE POTASSIUM</t>
  </si>
  <si>
    <t>TALC</t>
  </si>
  <si>
    <t>PVC-PVDC  BLANC</t>
  </si>
  <si>
    <t>TAILLE GELULE</t>
  </si>
  <si>
    <t>PROFONDEUR DOSEUR</t>
  </si>
  <si>
    <t>CLORAXENE 10</t>
  </si>
  <si>
    <t>10 mg</t>
  </si>
  <si>
    <t>VITESSE GELULEUSE</t>
  </si>
  <si>
    <t>COPARAMOL</t>
  </si>
  <si>
    <t>DOSAGE/ COMPRIME</t>
  </si>
  <si>
    <t>20/ 400 mg</t>
  </si>
  <si>
    <t>Boites de 20 Comprimés</t>
  </si>
  <si>
    <t xml:space="preserve">ANALGESIQUE CENTRAL (NIVEAU II) </t>
  </si>
  <si>
    <t>CODEINE</t>
  </si>
  <si>
    <t>PARACETAMOL PREMIX</t>
  </si>
  <si>
    <t>0.003412 kg</t>
  </si>
  <si>
    <t>0.000956 kg</t>
  </si>
  <si>
    <t>CARTONS D'EMBALLAGE F134</t>
  </si>
  <si>
    <t>DIGESTAT</t>
  </si>
  <si>
    <t>ANTI-SPASMODIQUE</t>
  </si>
  <si>
    <t>TRIMEBUTINE MALEATE</t>
  </si>
  <si>
    <t>ECOVAR LP</t>
  </si>
  <si>
    <t>DOSAGE/ OVULE</t>
  </si>
  <si>
    <t>Ovules</t>
  </si>
  <si>
    <t>01 Ovules/Boite</t>
  </si>
  <si>
    <t xml:space="preserve">Cartons de 150 Boites </t>
  </si>
  <si>
    <t>ANTIFONGIQUE VAGINAL</t>
  </si>
  <si>
    <t>SUPPOCIRE BCM</t>
  </si>
  <si>
    <t>ECONAZOLE NITRATE</t>
  </si>
  <si>
    <t>GALACTOMANNANE</t>
  </si>
  <si>
    <t>HEPTANOATE DE STEARYL</t>
  </si>
  <si>
    <t>AEROSIL</t>
  </si>
  <si>
    <t>01 BLISTERS DE 01</t>
  </si>
  <si>
    <t>ECOVAR</t>
  </si>
  <si>
    <t>03 Ovules/Boite</t>
  </si>
  <si>
    <t>FENAQUENE 25</t>
  </si>
  <si>
    <t>DICLOFENAC SODIQUE</t>
  </si>
  <si>
    <t>FENAQUENE 50</t>
  </si>
  <si>
    <t>FENAQUENE 100</t>
  </si>
  <si>
    <t>FONGYNE</t>
  </si>
  <si>
    <t>10 Ovules/Boite</t>
  </si>
  <si>
    <t xml:space="preserve">Cartons de 72 Boites </t>
  </si>
  <si>
    <t>ANTIPARASITAIRE VAGINAL</t>
  </si>
  <si>
    <t>METRONIDAZOLE</t>
  </si>
  <si>
    <t>HYDREX</t>
  </si>
  <si>
    <t>30 MOIS</t>
  </si>
  <si>
    <t>HYDROCHLOROTHIAZIDE</t>
  </si>
  <si>
    <t>LAXADYL 5</t>
  </si>
  <si>
    <t>06 Suppos/Boite</t>
  </si>
  <si>
    <t>LAXATIF</t>
  </si>
  <si>
    <t>BISACODYL</t>
  </si>
  <si>
    <t>VIGNETTES ROUGES</t>
  </si>
  <si>
    <t>02 BLISTERS DE 03</t>
  </si>
  <si>
    <t>LAXADYL 10</t>
  </si>
  <si>
    <t xml:space="preserve">Cartons de 112 Boites </t>
  </si>
  <si>
    <t>MEFESTAN 125</t>
  </si>
  <si>
    <t>125 mg</t>
  </si>
  <si>
    <t>SUPPOCIRE BM</t>
  </si>
  <si>
    <t>ACIDE MEFENAMIQUE</t>
  </si>
  <si>
    <t>MEFESTAN 500</t>
  </si>
  <si>
    <t>500 mg</t>
  </si>
  <si>
    <t xml:space="preserve">06 Suppos/Boite </t>
  </si>
  <si>
    <t>SAAS6</t>
  </si>
  <si>
    <t>SAAS9</t>
  </si>
  <si>
    <t xml:space="preserve">Taille de lot= </t>
  </si>
  <si>
    <t>Kg</t>
  </si>
  <si>
    <t>Nb de boîte</t>
  </si>
  <si>
    <t>u</t>
  </si>
  <si>
    <t>NIFLUMENE 200</t>
  </si>
  <si>
    <t xml:space="preserve">08 Suppos/Boite </t>
  </si>
  <si>
    <t>MORNIFLUMATE</t>
  </si>
  <si>
    <t>CARTONS D'EMBALLAGE F100</t>
  </si>
  <si>
    <t>02 BLISTERS DE 04</t>
  </si>
  <si>
    <t>NIFLUMENE 250</t>
  </si>
  <si>
    <t>DOSAGE/ gélule</t>
  </si>
  <si>
    <t>250 mg</t>
  </si>
  <si>
    <t>Carton de 160 Boites</t>
  </si>
  <si>
    <t>BLISTEREUSE</t>
  </si>
  <si>
    <t>ACIDE NIFLUMIQUE</t>
  </si>
  <si>
    <t>GELULES VIDES ( T1 )</t>
  </si>
  <si>
    <t>kg</t>
  </si>
  <si>
    <t>NIFLUMENE 400</t>
  </si>
  <si>
    <t>400 mg</t>
  </si>
  <si>
    <t>NIFLUMENE 700</t>
  </si>
  <si>
    <t>700 mg</t>
  </si>
  <si>
    <t>PARAMOL 500</t>
  </si>
  <si>
    <t>PARACETAMOL/ PREMIX</t>
  </si>
  <si>
    <t>0.01112 kg</t>
  </si>
  <si>
    <t>PVC TRANSPARANT</t>
  </si>
  <si>
    <t>PARAMOL 1000</t>
  </si>
  <si>
    <t>1000 mg</t>
  </si>
  <si>
    <t>Boites de 10 Comprimés</t>
  </si>
  <si>
    <t>PIROXAL</t>
  </si>
  <si>
    <t>20 mg</t>
  </si>
  <si>
    <t>GALLATE DE PROPYL</t>
  </si>
  <si>
    <t>PIROXICAM</t>
  </si>
  <si>
    <t xml:space="preserve"> kg</t>
  </si>
  <si>
    <t>PROCTOLON</t>
  </si>
  <si>
    <t>120/ 10 mg</t>
  </si>
  <si>
    <t>ANTI-HEMORROIDAIRE</t>
  </si>
  <si>
    <t>RUSCOGENINE</t>
  </si>
  <si>
    <t>TRIMEBUTINE BASE</t>
  </si>
  <si>
    <t>RAMITEC 2.5</t>
  </si>
  <si>
    <t>2.5 mg</t>
  </si>
  <si>
    <t>RAMIPRIL</t>
  </si>
  <si>
    <t>RAMITEC 5</t>
  </si>
  <si>
    <t>RAMITEC 10</t>
  </si>
  <si>
    <t>SPASMOL</t>
  </si>
  <si>
    <t>150/ 150 mg</t>
  </si>
  <si>
    <t>SUPPOCIRE NAIS 10</t>
  </si>
  <si>
    <t>PHLOROGLUCINOL</t>
  </si>
  <si>
    <t>TRIMETHYLPHLOROGLUCINOL</t>
  </si>
  <si>
    <t>SULPIRIDE LS 50</t>
  </si>
  <si>
    <t>NEUROLEPTIQUE</t>
  </si>
  <si>
    <t>SULPIRIDE</t>
  </si>
  <si>
    <t>LACTOSE MONOHYDRATE (spherolac)</t>
  </si>
  <si>
    <t>METHYL CELLULOSE</t>
  </si>
  <si>
    <t>PVC-PVDC  TRANSPARENT</t>
  </si>
  <si>
    <t>TRAMADOL LS 50</t>
  </si>
  <si>
    <t>ANALGESIQUE CENTRAL</t>
  </si>
  <si>
    <t>TRAMADOL CHLORHYDRATE</t>
  </si>
  <si>
    <t>TRAMADOL LS 100</t>
  </si>
  <si>
    <t>TROPHYL ENFANTS</t>
  </si>
  <si>
    <t>190/ 75 mg</t>
  </si>
  <si>
    <t>ANTISEPTIQUE BRONCHO-PULMONAIRES</t>
  </si>
  <si>
    <t>TENOATE DE SODIUM</t>
  </si>
  <si>
    <t>HUILE ESSENTIELLE D'EUCALIPTUS</t>
  </si>
  <si>
    <t>TROPHYL NOURRISSONS</t>
  </si>
  <si>
    <t>95/ 44 mg</t>
  </si>
  <si>
    <t>TROPHYL PLUS ENFANTS</t>
  </si>
  <si>
    <t>130/ 300/ 75 mg</t>
  </si>
  <si>
    <t>TROPHYL PLUS NOURRISSONS</t>
  </si>
  <si>
    <t>65/ 150/ 44 mg</t>
  </si>
  <si>
    <t>VISCERALENE</t>
  </si>
  <si>
    <t>METHYLSULFATE DE TIEMONIUM</t>
  </si>
  <si>
    <t>KG</t>
  </si>
  <si>
    <t>Blistereuse</t>
  </si>
  <si>
    <t xml:space="preserve">Blistereuse </t>
  </si>
  <si>
    <t>La taille est définie par la taille du lot du premix</t>
  </si>
  <si>
    <t>Vérification</t>
  </si>
  <si>
    <t>Approbation</t>
  </si>
  <si>
    <t>M-Z GHARZOULI</t>
  </si>
  <si>
    <t>Toufik ROUABHI</t>
  </si>
  <si>
    <t>Amor MAIZA</t>
  </si>
  <si>
    <t>Resp AQ</t>
  </si>
  <si>
    <t>Dir Production</t>
  </si>
  <si>
    <t>Dir Technique</t>
  </si>
  <si>
    <t xml:space="preserve">                                            CAPTOPRIL LS 50</t>
  </si>
  <si>
    <t xml:space="preserve"> à ajouter</t>
  </si>
  <si>
    <t>à ajouter</t>
  </si>
  <si>
    <t>20 Comp /Boite</t>
  </si>
  <si>
    <t>CAFEINE</t>
  </si>
  <si>
    <t>KOLLIDON CL</t>
  </si>
  <si>
    <t>STEARETE DE MAGNESIUM</t>
  </si>
  <si>
    <t>PVC-PVDC TRANSPARENT</t>
  </si>
  <si>
    <t>PARAMOL EXTRA 500/50</t>
  </si>
  <si>
    <t>500 /50 mg</t>
  </si>
  <si>
    <t>30 Comp /Boite</t>
  </si>
  <si>
    <t>DIGESTAT 200</t>
  </si>
  <si>
    <t>ANTISPASMODIQUE</t>
  </si>
  <si>
    <t>TRIMEBUTINE MALEATE PREMIX</t>
  </si>
  <si>
    <t>DOSAGE/COMPRIME</t>
  </si>
  <si>
    <t xml:space="preserve">Carton de 100 Boites </t>
  </si>
  <si>
    <t xml:space="preserve">Carton de 200 Boites </t>
  </si>
  <si>
    <t>Captopril / Hydrochloryhiazide</t>
  </si>
  <si>
    <t>50 /25 mg</t>
  </si>
  <si>
    <t>Captopril</t>
  </si>
  <si>
    <t>Hydrochloryhiazide</t>
  </si>
  <si>
    <t>Laque aluminique de jaune orangé S (E110)</t>
  </si>
  <si>
    <t xml:space="preserve">GLYCERINE LS BéBé </t>
  </si>
  <si>
    <t>720 mg GLYCEROL</t>
  </si>
  <si>
    <t>GLYCEROL</t>
  </si>
  <si>
    <t>GELATINE</t>
  </si>
  <si>
    <t>EAU</t>
  </si>
  <si>
    <t>PVC-PE SUPPOS TRANSPARENT</t>
  </si>
  <si>
    <t>PVC-PE TRANSPARENT IMPRIME</t>
  </si>
  <si>
    <t>GLYCERINE LS Enfant</t>
  </si>
  <si>
    <t>1200 mg GLYCEROL</t>
  </si>
  <si>
    <t>1800 mg GLYCEROL</t>
  </si>
  <si>
    <t>GLYCERINE LS Adulte</t>
  </si>
  <si>
    <t>code</t>
  </si>
  <si>
    <t>MP000160</t>
  </si>
  <si>
    <t>VI000174</t>
  </si>
  <si>
    <t>ET000285</t>
  </si>
  <si>
    <t>MP000950</t>
  </si>
  <si>
    <t>MP000095</t>
  </si>
  <si>
    <t>MP000170</t>
  </si>
  <si>
    <t>EC000130</t>
  </si>
  <si>
    <r>
      <t>GLYCEROL/</t>
    </r>
    <r>
      <rPr>
        <sz val="9"/>
        <rFont val="Arial"/>
        <family val="2"/>
      </rPr>
      <t>GLYCERINE 4810 VEGETALE</t>
    </r>
  </si>
  <si>
    <t>MP000940</t>
  </si>
  <si>
    <t>MP000066</t>
  </si>
  <si>
    <t>MP000072</t>
  </si>
  <si>
    <t>MP000175</t>
  </si>
  <si>
    <t>ET000286</t>
  </si>
  <si>
    <t>NT000180</t>
  </si>
  <si>
    <t>MP000023</t>
  </si>
  <si>
    <t>Code:</t>
  </si>
  <si>
    <t>MP000172</t>
  </si>
  <si>
    <t>NT000193</t>
  </si>
  <si>
    <t>ET000159</t>
  </si>
  <si>
    <t>MP000219</t>
  </si>
  <si>
    <t>MP000059</t>
  </si>
  <si>
    <t>VI000175</t>
  </si>
  <si>
    <t>VERSION 02</t>
  </si>
  <si>
    <t>PRIAZIDE 50/25 mg</t>
  </si>
  <si>
    <t xml:space="preserve">     code</t>
  </si>
  <si>
    <t xml:space="preserve">      code</t>
  </si>
  <si>
    <t>MP000050</t>
  </si>
  <si>
    <t>MP000057</t>
  </si>
  <si>
    <t>MP000049</t>
  </si>
  <si>
    <t>MP000234</t>
  </si>
  <si>
    <t>ET000157</t>
  </si>
  <si>
    <t>EC000232</t>
  </si>
  <si>
    <t>NT000436</t>
  </si>
  <si>
    <t xml:space="preserve">       code</t>
  </si>
  <si>
    <t>MP000210</t>
  </si>
  <si>
    <t>MP000215</t>
  </si>
  <si>
    <t>ET000145</t>
  </si>
  <si>
    <t>NT000189</t>
  </si>
  <si>
    <t xml:space="preserve">   code</t>
  </si>
  <si>
    <t xml:space="preserve">   CODE</t>
  </si>
  <si>
    <t>MP000229</t>
  </si>
  <si>
    <t>MP000087</t>
  </si>
  <si>
    <t>ET000146</t>
  </si>
  <si>
    <t>NT000183</t>
  </si>
  <si>
    <t xml:space="preserve">    CODE</t>
  </si>
  <si>
    <t>MP000225</t>
  </si>
  <si>
    <t>ET000147</t>
  </si>
  <si>
    <t>EQ000178</t>
  </si>
  <si>
    <t>MP000058</t>
  </si>
  <si>
    <t>MP000227</t>
  </si>
  <si>
    <t>ET000158</t>
  </si>
  <si>
    <t>NT000192</t>
  </si>
  <si>
    <t>CODE</t>
  </si>
  <si>
    <t xml:space="preserve">      CODE</t>
  </si>
  <si>
    <t>MP000062</t>
  </si>
  <si>
    <t>MP000074</t>
  </si>
  <si>
    <t>MP000288</t>
  </si>
  <si>
    <t>MP000083</t>
  </si>
  <si>
    <t>MP000290</t>
  </si>
  <si>
    <t>MP000291</t>
  </si>
  <si>
    <t>MP000073</t>
  </si>
  <si>
    <t>MP000289</t>
  </si>
  <si>
    <t>MP000281</t>
  </si>
  <si>
    <t>MP000054</t>
  </si>
  <si>
    <t>MP000211</t>
  </si>
  <si>
    <t>MP000096</t>
  </si>
  <si>
    <t>ET000153</t>
  </si>
  <si>
    <t>NT000187</t>
  </si>
  <si>
    <t>MP000284</t>
  </si>
  <si>
    <t>MP000076</t>
  </si>
  <si>
    <t>MP000075</t>
  </si>
  <si>
    <t>EC000147</t>
  </si>
  <si>
    <t>ET000174</t>
  </si>
  <si>
    <t>NT000300</t>
  </si>
  <si>
    <t>EC000202</t>
  </si>
  <si>
    <t>MP000080</t>
  </si>
  <si>
    <t>MP000228</t>
  </si>
  <si>
    <t>EC000141</t>
  </si>
  <si>
    <t>ET000166</t>
  </si>
  <si>
    <t>NT000304</t>
  </si>
  <si>
    <t xml:space="preserve">  code</t>
  </si>
  <si>
    <t>MP000081</t>
  </si>
  <si>
    <t>EC000142</t>
  </si>
  <si>
    <t>ET000167</t>
  </si>
  <si>
    <t xml:space="preserve">    code</t>
  </si>
  <si>
    <t>MP000047</t>
  </si>
  <si>
    <t>MP000024</t>
  </si>
  <si>
    <t>ET000152</t>
  </si>
  <si>
    <t>NT000182</t>
  </si>
  <si>
    <t xml:space="preserve"> </t>
  </si>
  <si>
    <t>EC000148</t>
  </si>
  <si>
    <t>NT000350</t>
  </si>
  <si>
    <t>MP000045</t>
  </si>
  <si>
    <t>MP000051</t>
  </si>
  <si>
    <t>MP000214</t>
  </si>
  <si>
    <t>ET000151</t>
  </si>
  <si>
    <t>NT000185</t>
  </si>
  <si>
    <t>MP000216</t>
  </si>
  <si>
    <t>EC000137</t>
  </si>
  <si>
    <t>ET000231</t>
  </si>
  <si>
    <t>NT000198</t>
  </si>
  <si>
    <t>PSO0020</t>
  </si>
  <si>
    <t>PSO0019</t>
  </si>
  <si>
    <t>EC000135</t>
  </si>
  <si>
    <t>ET000168</t>
  </si>
  <si>
    <t>EC000201</t>
  </si>
  <si>
    <t>MP000022</t>
  </si>
  <si>
    <t>MP000347</t>
  </si>
  <si>
    <t>ET000338</t>
  </si>
  <si>
    <t>NT000196</t>
  </si>
  <si>
    <t>MP000218</t>
  </si>
  <si>
    <t>MP000055</t>
  </si>
  <si>
    <t>ET000154</t>
  </si>
  <si>
    <t>NT000188</t>
  </si>
  <si>
    <t>MP000295</t>
  </si>
  <si>
    <t>MP000016</t>
  </si>
  <si>
    <t>MP000021</t>
  </si>
  <si>
    <t>EC000306</t>
  </si>
  <si>
    <t>ET000249</t>
  </si>
  <si>
    <t>EC000307</t>
  </si>
  <si>
    <t>NT000181</t>
  </si>
  <si>
    <t>ET000148</t>
  </si>
  <si>
    <t>MP000088</t>
  </si>
  <si>
    <t>MP00090</t>
  </si>
  <si>
    <t>ET000230</t>
  </si>
  <si>
    <t>MP000226</t>
  </si>
  <si>
    <t>ET000149</t>
  </si>
  <si>
    <t>MP000180</t>
  </si>
  <si>
    <t>ET000150</t>
  </si>
  <si>
    <t>PSO0029</t>
  </si>
  <si>
    <t>EC000144</t>
  </si>
  <si>
    <t>ET000175</t>
  </si>
  <si>
    <t>NT000144</t>
  </si>
  <si>
    <t>ET000176</t>
  </si>
  <si>
    <t>EC000145</t>
  </si>
  <si>
    <t>PSO0044</t>
  </si>
  <si>
    <t>EC000139</t>
  </si>
  <si>
    <t>ET000171</t>
  </si>
  <si>
    <t>NT000200</t>
  </si>
  <si>
    <t>MP000221</t>
  </si>
  <si>
    <t>ET000155</t>
  </si>
  <si>
    <t>NT000186</t>
  </si>
  <si>
    <t>MP000048</t>
  </si>
  <si>
    <t>MP000025</t>
  </si>
  <si>
    <t>MP000222</t>
  </si>
  <si>
    <t>ET000162</t>
  </si>
  <si>
    <t>NT000194</t>
  </si>
  <si>
    <t>MP000335</t>
  </si>
  <si>
    <t>MP000365</t>
  </si>
  <si>
    <t>ET000350</t>
  </si>
  <si>
    <t>NT000345</t>
  </si>
  <si>
    <r>
      <rPr>
        <sz val="11"/>
        <rFont val="Arial"/>
        <family val="2"/>
      </rPr>
      <t>CARTONS D'EMBALLAGE F140</t>
    </r>
    <r>
      <rPr>
        <sz val="12"/>
        <rFont val="Arial"/>
        <family val="2"/>
      </rPr>
      <t/>
    </r>
  </si>
  <si>
    <t>LACTOSE MONOHYDRATE Flowlac</t>
  </si>
  <si>
    <t>LUDIPRESS/ FLOWLAC</t>
  </si>
  <si>
    <t>NA</t>
  </si>
  <si>
    <t>COPARAMOL - (sous-lots)</t>
  </si>
  <si>
    <t>Version 2</t>
  </si>
  <si>
    <t>Modification: ajout de la taille 270Kg sur la SAAS9</t>
  </si>
  <si>
    <t>sous-lots1</t>
  </si>
  <si>
    <t>sous-lot 2</t>
  </si>
  <si>
    <t>PARAMOL 1000 Grand Format</t>
  </si>
  <si>
    <t>Boites de 25 Comprimés</t>
  </si>
  <si>
    <t>VERSION 01</t>
  </si>
  <si>
    <t>Version :02</t>
  </si>
  <si>
    <t>MP000060</t>
  </si>
  <si>
    <t>MP000223</t>
  </si>
  <si>
    <t>ET000161</t>
  </si>
  <si>
    <t>NT000195</t>
  </si>
  <si>
    <t>TEMESTA 1MG</t>
  </si>
  <si>
    <t>DOSAGE/ CP</t>
  </si>
  <si>
    <t>1 mg</t>
  </si>
  <si>
    <t>Comprimé</t>
  </si>
  <si>
    <t>Boites de 30 cp</t>
  </si>
  <si>
    <t>LACTOSE MONOHYDRATE (Flowlac)</t>
  </si>
  <si>
    <t>LACTOSE ANHYDRE (DURALAC)</t>
  </si>
  <si>
    <t>POTASSIUM POLACRILINE</t>
  </si>
  <si>
    <t>CELLULOSE MICROCRISTALLINE</t>
  </si>
  <si>
    <t>TEMESTA 2,5MG</t>
  </si>
  <si>
    <t>2,5 mg</t>
  </si>
  <si>
    <t>QUINOLINE YELLOW E104</t>
  </si>
  <si>
    <t>LACTOSE MONOHYDRATE (FLOWLAC)</t>
  </si>
  <si>
    <t>LORAZEPAM</t>
  </si>
  <si>
    <t>PARACETAMOL FINE CRYSTALS</t>
  </si>
  <si>
    <t>GELULES VIDES (T1)</t>
  </si>
  <si>
    <t>TRAMADOL PLUS</t>
  </si>
  <si>
    <t>325 / 37,5 mg</t>
  </si>
  <si>
    <t>Boites de 20 Gélules</t>
  </si>
  <si>
    <t>ANALGESIQUE NIVEAU II</t>
  </si>
  <si>
    <t>MEFESTAN 250</t>
  </si>
  <si>
    <t>DOSAGE/ Gélule</t>
  </si>
  <si>
    <t>Gélule</t>
  </si>
  <si>
    <t>20 gélules/Boite</t>
  </si>
  <si>
    <t xml:space="preserve">Cartons de 200 Boites </t>
  </si>
  <si>
    <t xml:space="preserve">LACTOSE MONOHYDRATE </t>
  </si>
  <si>
    <t>U</t>
  </si>
  <si>
    <t>Version 02</t>
  </si>
  <si>
    <t>version 2</t>
  </si>
  <si>
    <t xml:space="preserve">  SAAS6                                 SAAS9</t>
  </si>
  <si>
    <t>ANTI-INFLAMMAOIRES</t>
  </si>
  <si>
    <t>SAAS 9</t>
  </si>
  <si>
    <t>DENSITE POUDRE</t>
  </si>
  <si>
    <t>670 g/L</t>
  </si>
  <si>
    <t>TRAMADOL CHLORHYDRATE Non-MIC</t>
  </si>
  <si>
    <t>DENSITE</t>
  </si>
  <si>
    <t>618 g/l</t>
  </si>
  <si>
    <t>version  2</t>
  </si>
  <si>
    <t>MP000067</t>
  </si>
  <si>
    <t>MP000208</t>
  </si>
  <si>
    <t>FM300</t>
  </si>
  <si>
    <t>NB BOITES :</t>
  </si>
  <si>
    <t>Mélangeur :</t>
  </si>
  <si>
    <t>Mélange final:</t>
  </si>
  <si>
    <t>Sou-mélange:</t>
  </si>
  <si>
    <t>LACTOSE Flowlac</t>
  </si>
  <si>
    <t>MP000292</t>
  </si>
  <si>
    <t>ANALGESIQUE (NIVEAU II)</t>
  </si>
  <si>
    <t>AN TI-INFLAMMATOIRES</t>
  </si>
  <si>
    <t>LODIGE FM300</t>
  </si>
  <si>
    <t>ZANCHETTA</t>
  </si>
  <si>
    <t>CARTONS D'EMBALLAGE F200</t>
  </si>
  <si>
    <t xml:space="preserve">ALPROFENE </t>
  </si>
  <si>
    <t>CAPTOPRIL LS25</t>
  </si>
  <si>
    <t>CAPTOPRIL LS50</t>
  </si>
  <si>
    <t>COPARAMOL sous-lots</t>
  </si>
  <si>
    <t>Glycérine Adulte</t>
  </si>
  <si>
    <t>Glycérine Bébé</t>
  </si>
  <si>
    <t>Glycérine Enfant</t>
  </si>
  <si>
    <t>LAXADYL10</t>
  </si>
  <si>
    <t>MEFESTAN125</t>
  </si>
  <si>
    <t>PARAMOL EXTRA</t>
  </si>
  <si>
    <t>PARAMOL1000</t>
  </si>
  <si>
    <t>PARAMOL1000 GF</t>
  </si>
  <si>
    <t>PRIAZIDE</t>
  </si>
  <si>
    <t>RAMITEC 2,5</t>
  </si>
  <si>
    <t>RAMITEC10</t>
  </si>
  <si>
    <t xml:space="preserve">SPASMOL </t>
  </si>
  <si>
    <t xml:space="preserve">TEMESTA 1 </t>
  </si>
  <si>
    <t>TEMESTA 2,5</t>
  </si>
  <si>
    <t>TROPHYL ENFANT</t>
  </si>
  <si>
    <t>TROPHYL NOURRISSON</t>
  </si>
  <si>
    <t>TROPHYL PLUS NOURRISSON</t>
  </si>
  <si>
    <t>ACIDE ACETYLSALICYLIQUE</t>
  </si>
  <si>
    <t>ACIDE ASCORBIQUE</t>
  </si>
  <si>
    <t>ACIDE ESTER</t>
  </si>
  <si>
    <t>ACIDE MEFENAMIQUE  MIC</t>
  </si>
  <si>
    <t>ACIDE MEFENAMIQUE  NON MIC</t>
  </si>
  <si>
    <t>AEROSIL 200</t>
  </si>
  <si>
    <t>ALGINATE DE DE PROPYLENE</t>
  </si>
  <si>
    <t>ALLOPURINOL PREMIX</t>
  </si>
  <si>
    <t>AMIDON DE MAIS (PLACEBO)</t>
  </si>
  <si>
    <t>CAFEINE ANHYDRE</t>
  </si>
  <si>
    <t>CALENDULA OFFICINALIS</t>
  </si>
  <si>
    <t>CAPSULE T:0</t>
  </si>
  <si>
    <t>CAPSULE T:3</t>
  </si>
  <si>
    <t>CAPSULES  DICETALGIC</t>
  </si>
  <si>
    <t>CAPSULES  RAMITEC  2.5MG</t>
  </si>
  <si>
    <t>CAPSULES  RAMITEC  5MG</t>
  </si>
  <si>
    <t>CAPSULES  TRAMADOL  LS 50 MG</t>
  </si>
  <si>
    <t>CAPSULES ALPROFENE</t>
  </si>
  <si>
    <t>CAPSULES AMLODIPINE BESYLATE</t>
  </si>
  <si>
    <t>CAPSULES CELECOXIB 100 MG</t>
  </si>
  <si>
    <t>CAPSULES CELECOXIB 200 MG</t>
  </si>
  <si>
    <t>CAPSULES CLOMIPRAMINE</t>
  </si>
  <si>
    <t>CAPSULES CLOMIPRAMINE 25 mg</t>
  </si>
  <si>
    <t>CAPSULES CLORAXENE 10MG</t>
  </si>
  <si>
    <t>CAPSULES CLORAXENE 5MG</t>
  </si>
  <si>
    <t>CAPSULES FAXINAL 37.5 mg</t>
  </si>
  <si>
    <t>CAPSULES FAXINAL 75 mg</t>
  </si>
  <si>
    <t>CAPSULES FLUOXETINE 20mg</t>
  </si>
  <si>
    <t>CAPSULES GABAPIN 100 MG</t>
  </si>
  <si>
    <t>CAPSULES GABAPIN 150 MG</t>
  </si>
  <si>
    <t>CAPSULES GABAPIN 25 MG</t>
  </si>
  <si>
    <t>CAPSULES GABAPIN 300 MG</t>
  </si>
  <si>
    <t>CAPSULES GABAPIN 50 MG</t>
  </si>
  <si>
    <t>CAPSULES GASTHRONE 20 MG</t>
  </si>
  <si>
    <t>CAPSULES GASTHRONE 40 MG</t>
  </si>
  <si>
    <t>CAPSULES HYPOXEN LP 50 MG</t>
  </si>
  <si>
    <t>CAPSULES ITHRANOX 100 MG</t>
  </si>
  <si>
    <t>CAPSULES MEFESTAN</t>
  </si>
  <si>
    <t>CAPSULES MIGRALGINE</t>
  </si>
  <si>
    <t>CAPSULES NIFLUMENE  250MG</t>
  </si>
  <si>
    <t>CAPSULES RELAXAN</t>
  </si>
  <si>
    <t>CAPSULES RINOFBRAL</t>
  </si>
  <si>
    <t>CAPSULES SERTRALINE 25 mg</t>
  </si>
  <si>
    <t>CAPSULES SERTRALINE 50mg</t>
  </si>
  <si>
    <t>CAPSULES SULPIRIDE LS</t>
  </si>
  <si>
    <t>CAPSULES TRAMADOL PLUS</t>
  </si>
  <si>
    <t>CAPTOPRIL</t>
  </si>
  <si>
    <t>CARBOXYMETHYLAMIDON SODIQUE</t>
  </si>
  <si>
    <t>CHLORYDRATE DE METFORMINE</t>
  </si>
  <si>
    <t>CIRE MICRO CRISTALLINE</t>
  </si>
  <si>
    <t>COMPRITOL 888 ATO</t>
  </si>
  <si>
    <t>DEXTROPROPOXYPHENE</t>
  </si>
  <si>
    <t>DURALAC</t>
  </si>
  <si>
    <t>EAU PHARMACEUTIQUE</t>
  </si>
  <si>
    <t>ESOMEPRAZOL MAGNESIUM  EC</t>
  </si>
  <si>
    <t>FLOWLAC</t>
  </si>
  <si>
    <t>GALLATE DE PROPYLE</t>
  </si>
  <si>
    <t>GALLENIC 721</t>
  </si>
  <si>
    <t>GELATINE Pharmaceutique</t>
  </si>
  <si>
    <t>GLYCERINE 4810 VEGETALE</t>
  </si>
  <si>
    <t>GOMME ARABIQUE</t>
  </si>
  <si>
    <t>GOMME DE GUAR</t>
  </si>
  <si>
    <t>HEPTANOATE DE STEARYLE</t>
  </si>
  <si>
    <t>HUILE ESSENT. DE NIAOULI</t>
  </si>
  <si>
    <t>HUILE ESSENT. D'EUCALYPTUS</t>
  </si>
  <si>
    <t>ITRACONAZOL 22% PELLETS</t>
  </si>
  <si>
    <t>LACTOSE (TABLETTOSE 100)</t>
  </si>
  <si>
    <t>LAQUE ALUMINIQUE JAUNE ORANGE</t>
  </si>
  <si>
    <t>MESALAZINE</t>
  </si>
  <si>
    <t>METFORMINE HCL DC 90% GRANULES</t>
  </si>
  <si>
    <t>METFORMINE HCL DC 95% GRANULES</t>
  </si>
  <si>
    <t>PARACETAMOL CRISTALLISE</t>
  </si>
  <si>
    <t>PARACETAMOL MIC</t>
  </si>
  <si>
    <t>PARACETAMOL NON MIC</t>
  </si>
  <si>
    <t>PHLOROGLUCINOL DIHYDRATE</t>
  </si>
  <si>
    <t>PHLOROGLUCINOL DIHYDRATE N.MIC</t>
  </si>
  <si>
    <t>PHOSPHATE CODEINE HEMIHYDRATE</t>
  </si>
  <si>
    <t>POTASSIUM CARBONATE</t>
  </si>
  <si>
    <t>PRAVASTATINE PREMIX 40 MG</t>
  </si>
  <si>
    <t>PVC ALPROFENE100MG SUPPO</t>
  </si>
  <si>
    <t>PVC BLANC SUPPO</t>
  </si>
  <si>
    <t>PVC CETALGINE 100MG SUPPO</t>
  </si>
  <si>
    <t>PVC CETALGINE 150MG SUPPO</t>
  </si>
  <si>
    <t>PVC CETALGINE 200MG SUPPO</t>
  </si>
  <si>
    <t>PVC CETALGINE 300MG SUPPO</t>
  </si>
  <si>
    <t>PVC DIGESTAT100MG SUPPO</t>
  </si>
  <si>
    <t>PVC ECOVAR 150MG OVULES</t>
  </si>
  <si>
    <t>PVC ECOVAR LP 150MG OVULE</t>
  </si>
  <si>
    <t>PVC FENAQUENE 100 MG SUPPO</t>
  </si>
  <si>
    <t>PVC FENAQUENE 25 MG SUPPO</t>
  </si>
  <si>
    <t>PVC FENAQUENE 50 MG SUPPO</t>
  </si>
  <si>
    <t>PVC FONGYNE 500MG SUPPO</t>
  </si>
  <si>
    <t>PVC GLYCERINE LS ADULTE</t>
  </si>
  <si>
    <t>PVC GLYCERINE LS BEBE</t>
  </si>
  <si>
    <t>PVC GLYCERINE LS ENFANT</t>
  </si>
  <si>
    <t>PVC LAXADYL 10MG SUPPO</t>
  </si>
  <si>
    <t>PVC LAXADYL 5 MG</t>
  </si>
  <si>
    <t>PVC MEFESTAN 125 MG</t>
  </si>
  <si>
    <t>PVC MEFESTAN 500 MG</t>
  </si>
  <si>
    <t>PVC NIFLUMENE 200MG</t>
  </si>
  <si>
    <t>PVC NIFLUMENE 400MG SUPPO</t>
  </si>
  <si>
    <t>PVC NIFLUMENE 700 MG</t>
  </si>
  <si>
    <t>PVC PIROXAL 20MG SUPPO</t>
  </si>
  <si>
    <t>PVC PROCTOLON SUPPO</t>
  </si>
  <si>
    <t>PVC SPASMOL SUPPO</t>
  </si>
  <si>
    <t>PVC TRAMADOL LS100 MG SUPPO</t>
  </si>
  <si>
    <t>PVC TRANSPARENT COMP</t>
  </si>
  <si>
    <t>PVC TROPHYL  ENFT SUPPO</t>
  </si>
  <si>
    <t>PVC TROPHYL + ENFT SUPPO</t>
  </si>
  <si>
    <t>PVC TROPHYL NOUR SUPPO</t>
  </si>
  <si>
    <t>PVC TROPHYL+ NOUR SUPPO</t>
  </si>
  <si>
    <t>PVC VICERALENE 20MG SUPPO</t>
  </si>
  <si>
    <t>PVC/ PE TRANSPARENT SUPPO</t>
  </si>
  <si>
    <t>PVC/ PE/ PVDC BLANC COMP/ GEL</t>
  </si>
  <si>
    <t>PVC/ PVDC BLANC COMP/ GEL</t>
  </si>
  <si>
    <t>PVC/ PVDC TRANSP  COMP/ GEL</t>
  </si>
  <si>
    <t>SAC POLYETHYLENE</t>
  </si>
  <si>
    <t>SERTACONAZOLE NITRATE</t>
  </si>
  <si>
    <t>SUPPOCIRE</t>
  </si>
  <si>
    <t>TRAMADOL CHLORHYDRATE MIC</t>
  </si>
  <si>
    <t>TRAMADOL CHLORHYDRATE NON MIC</t>
  </si>
  <si>
    <t>TRIMETHYL PHLOROGLUCINOL</t>
  </si>
  <si>
    <t>WECOBEE FS</t>
  </si>
  <si>
    <t>ETUI PARAMOL 500MG COMP</t>
  </si>
  <si>
    <t>ETUI ASPEVASC COMP</t>
  </si>
  <si>
    <t>ETUI COPARAMOL COMP</t>
  </si>
  <si>
    <t>ETUI RAMITEC 10MG COMP</t>
  </si>
  <si>
    <t>ETUI PARAMOL 1000MG COMP</t>
  </si>
  <si>
    <t>VASTAREL 35MG COMP LM</t>
  </si>
  <si>
    <t>CASODEX 50MG BTE/30 COMP</t>
  </si>
  <si>
    <t>LUTENYL COMP BTE/10</t>
  </si>
  <si>
    <t>ANTADYS COMP B/15</t>
  </si>
  <si>
    <t>AVLOCARDYL 40MG 50 COMP</t>
  </si>
  <si>
    <t>SPASFON 80MG B/30 COMP</t>
  </si>
  <si>
    <t>SPASFONLYOC 80MG B/10 COMP</t>
  </si>
  <si>
    <t>PROXALYOC 20MG B/10 COMP</t>
  </si>
  <si>
    <t>AVLOCARDYL 40MG B/50 COMP</t>
  </si>
  <si>
    <t>BRICANYL LP 5MG B/30 COMP</t>
  </si>
  <si>
    <t>FLUDEX LP  1.5MG COMP B/30</t>
  </si>
  <si>
    <t>PROSPECTUS PARAMOL 500MG COMP</t>
  </si>
  <si>
    <t>PROSPECTUS PARAMOL1000MG COMP</t>
  </si>
  <si>
    <t>PROSPECTUS ASPEVASC100MG COMP</t>
  </si>
  <si>
    <t>PROSPECTUS HYDREX 25 COMP</t>
  </si>
  <si>
    <t>COPARAMOL Comp</t>
  </si>
  <si>
    <t>PARAMOL 1000mg GF Comp</t>
  </si>
  <si>
    <t>ASPEVASC 100 mg Comprime</t>
  </si>
  <si>
    <t>RAMITEC 2.5 mg Comp</t>
  </si>
  <si>
    <t>RAMITEC 5 mg Comp</t>
  </si>
  <si>
    <t>CAPTOPRIL LS 50 Comprimés</t>
  </si>
  <si>
    <t>CAPTOPRIL LS 25 Comprimés</t>
  </si>
  <si>
    <t>HYDREX 25 mg comprimés</t>
  </si>
  <si>
    <t>RAMITEC 10 mg Comp</t>
  </si>
  <si>
    <t>PRIAZIDE 50/ 25 mg comprimés</t>
  </si>
  <si>
    <t>DIGESTAT 200 mg COMPRIMES</t>
  </si>
  <si>
    <t>Article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</si>
</sst>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000"/>
    <numFmt numFmtId="165" formatCode="0.00000"/>
    <numFmt numFmtId="166" formatCode="0.000"/>
    <numFmt numFmtId="167" formatCode="0.0"/>
    <numFmt numFmtId="168" formatCode="0.000000"/>
    <numFmt numFmtId="169" formatCode="#,##0.0000"/>
  </numFmts>
  <fonts count="3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6"/>
      <name val="Times New Roman"/>
      <family val="1"/>
    </font>
    <font>
      <sz val="10"/>
      <name val="Arial"/>
      <family val="2"/>
    </font>
    <font>
      <sz val="10"/>
      <name val="Times New Roman"/>
      <family val="1"/>
    </font>
    <font>
      <sz val="12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Arial"/>
      <family val="2"/>
    </font>
    <font>
      <sz val="11"/>
      <name val="Times New Roman"/>
      <family val="1"/>
    </font>
    <font>
      <sz val="11"/>
      <name val="Arial"/>
      <family val="2"/>
    </font>
    <font>
      <sz val="9"/>
      <name val="Arial"/>
      <family val="2"/>
    </font>
    <font>
      <b/>
      <sz val="12"/>
      <name val="Times New Roman"/>
      <family val="1"/>
    </font>
    <font>
      <sz val="12"/>
      <name val="Century Gothic"/>
      <family val="2"/>
    </font>
    <font>
      <b/>
      <sz val="14"/>
      <name val="Century Gothic"/>
      <family val="2"/>
    </font>
    <font>
      <sz val="10"/>
      <name val="Century Gothic"/>
      <family val="2"/>
    </font>
    <font>
      <b/>
      <sz val="18"/>
      <name val="Century Gothic"/>
      <family val="2"/>
    </font>
    <font>
      <b/>
      <sz val="16"/>
      <name val="Century Gothic"/>
      <family val="2"/>
    </font>
    <font>
      <sz val="11"/>
      <name val="Century Gothic"/>
      <family val="2"/>
    </font>
    <font>
      <b/>
      <sz val="11"/>
      <name val="Century Gothic"/>
      <family val="2"/>
    </font>
    <font>
      <b/>
      <sz val="12"/>
      <name val="Century Gothic"/>
      <family val="2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Century Gothic"/>
      <family val="2"/>
    </font>
    <font>
      <sz val="10"/>
      <color theme="1"/>
      <name val="Century Gothic"/>
      <family val="2"/>
    </font>
    <font>
      <b/>
      <sz val="11"/>
      <color theme="1"/>
      <name val="Century Gothic"/>
      <family val="2"/>
    </font>
    <font>
      <b/>
      <sz val="8"/>
      <color theme="1"/>
      <name val="Century Gothic"/>
      <family val="2"/>
    </font>
    <font>
      <b/>
      <sz val="12"/>
      <color rgb="FFFFFF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00000"/>
        <bgColor theme="1" tint="0.44999542222357858"/>
      </patternFill>
    </fill>
    <fill>
      <patternFill patternType="solid">
        <fgColor rgb="FFC00000"/>
        <bgColor theme="1" tint="0.249977111117893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0" fontId="1" fillId="0" borderId="0"/>
    <xf numFmtId="0" fontId="9" fillId="0" borderId="0"/>
    <xf numFmtId="0" fontId="1" fillId="0" borderId="0"/>
  </cellStyleXfs>
  <cellXfs count="396">
    <xf numFmtId="0" fontId="0" fillId="0" borderId="0" xfId="0"/>
    <xf numFmtId="0" fontId="1" fillId="0" borderId="0" xfId="1"/>
    <xf numFmtId="0" fontId="2" fillId="0" borderId="0" xfId="1" applyFont="1"/>
    <xf numFmtId="0" fontId="2" fillId="0" borderId="1" xfId="1" applyFont="1" applyBorder="1"/>
    <xf numFmtId="0" fontId="3" fillId="0" borderId="0" xfId="1" applyFont="1"/>
    <xf numFmtId="0" fontId="2" fillId="0" borderId="0" xfId="1" applyFont="1" applyBorder="1"/>
    <xf numFmtId="0" fontId="2" fillId="0" borderId="2" xfId="1" applyFont="1" applyBorder="1"/>
    <xf numFmtId="0" fontId="2" fillId="0" borderId="3" xfId="1" applyFont="1" applyBorder="1" applyAlignment="1">
      <alignment horizontal="center"/>
    </xf>
    <xf numFmtId="0" fontId="2" fillId="0" borderId="4" xfId="1" applyFont="1" applyBorder="1" applyAlignment="1">
      <alignment horizontal="center"/>
    </xf>
    <xf numFmtId="0" fontId="6" fillId="0" borderId="5" xfId="1" applyFont="1" applyBorder="1"/>
    <xf numFmtId="0" fontId="6" fillId="0" borderId="6" xfId="1" applyFont="1" applyBorder="1" applyAlignment="1">
      <alignment horizontal="center"/>
    </xf>
    <xf numFmtId="0" fontId="2" fillId="0" borderId="7" xfId="1" applyFont="1" applyBorder="1"/>
    <xf numFmtId="0" fontId="1" fillId="0" borderId="1" xfId="1" applyBorder="1"/>
    <xf numFmtId="0" fontId="2" fillId="0" borderId="1" xfId="1" applyFont="1" applyBorder="1" applyAlignment="1">
      <alignment horizontal="center"/>
    </xf>
    <xf numFmtId="0" fontId="6" fillId="0" borderId="1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6" fillId="0" borderId="1" xfId="1" applyFont="1" applyBorder="1"/>
    <xf numFmtId="0" fontId="1" fillId="0" borderId="1" xfId="1" applyFill="1" applyBorder="1"/>
    <xf numFmtId="0" fontId="2" fillId="0" borderId="9" xfId="1" applyFont="1" applyBorder="1"/>
    <xf numFmtId="0" fontId="1" fillId="0" borderId="9" xfId="1" applyBorder="1"/>
    <xf numFmtId="0" fontId="1" fillId="0" borderId="1" xfId="1" applyBorder="1" applyAlignment="1">
      <alignment horizontal="center"/>
    </xf>
    <xf numFmtId="0" fontId="6" fillId="0" borderId="9" xfId="1" applyFont="1" applyBorder="1"/>
    <xf numFmtId="0" fontId="2" fillId="0" borderId="1" xfId="1" applyFont="1" applyFill="1" applyBorder="1"/>
    <xf numFmtId="0" fontId="1" fillId="0" borderId="5" xfId="1" applyBorder="1"/>
    <xf numFmtId="0" fontId="4" fillId="0" borderId="6" xfId="1" applyFont="1" applyBorder="1" applyAlignment="1">
      <alignment horizontal="center"/>
    </xf>
    <xf numFmtId="0" fontId="2" fillId="0" borderId="10" xfId="1" applyFont="1" applyBorder="1"/>
    <xf numFmtId="0" fontId="2" fillId="0" borderId="0" xfId="0" applyFont="1"/>
    <xf numFmtId="164" fontId="2" fillId="0" borderId="3" xfId="1" applyNumberFormat="1" applyFont="1" applyBorder="1" applyAlignment="1">
      <alignment horizontal="center"/>
    </xf>
    <xf numFmtId="0" fontId="1" fillId="0" borderId="11" xfId="1" applyBorder="1"/>
    <xf numFmtId="0" fontId="1" fillId="0" borderId="12" xfId="1" applyBorder="1"/>
    <xf numFmtId="2" fontId="1" fillId="0" borderId="1" xfId="1" applyNumberFormat="1" applyBorder="1"/>
    <xf numFmtId="1" fontId="1" fillId="0" borderId="1" xfId="1" applyNumberFormat="1" applyBorder="1"/>
    <xf numFmtId="2" fontId="1" fillId="0" borderId="0" xfId="1" applyNumberFormat="1" applyBorder="1"/>
    <xf numFmtId="1" fontId="1" fillId="0" borderId="0" xfId="1" applyNumberFormat="1" applyBorder="1"/>
    <xf numFmtId="0" fontId="1" fillId="0" borderId="13" xfId="1" applyBorder="1"/>
    <xf numFmtId="0" fontId="3" fillId="0" borderId="0" xfId="0" applyFont="1"/>
    <xf numFmtId="0" fontId="2" fillId="0" borderId="1" xfId="0" applyFont="1" applyBorder="1"/>
    <xf numFmtId="0" fontId="2" fillId="0" borderId="0" xfId="0" applyFont="1" applyBorder="1"/>
    <xf numFmtId="0" fontId="2" fillId="0" borderId="7" xfId="0" applyFont="1" applyBorder="1"/>
    <xf numFmtId="0" fontId="2" fillId="2" borderId="3" xfId="0" applyFont="1" applyFill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2" xfId="0" applyFont="1" applyBorder="1"/>
    <xf numFmtId="0" fontId="0" fillId="0" borderId="5" xfId="0" applyBorder="1"/>
    <xf numFmtId="0" fontId="4" fillId="0" borderId="6" xfId="0" applyFont="1" applyBorder="1" applyAlignment="1">
      <alignment horizontal="center"/>
    </xf>
    <xf numFmtId="0" fontId="0" fillId="0" borderId="1" xfId="0" applyBorder="1"/>
    <xf numFmtId="0" fontId="0" fillId="0" borderId="1" xfId="0" applyFill="1" applyBorder="1"/>
    <xf numFmtId="0" fontId="1" fillId="0" borderId="0" xfId="1" applyBorder="1"/>
    <xf numFmtId="2" fontId="1" fillId="0" borderId="0" xfId="1" applyNumberFormat="1"/>
    <xf numFmtId="0" fontId="1" fillId="0" borderId="9" xfId="1" applyBorder="1" applyAlignment="1">
      <alignment horizontal="right"/>
    </xf>
    <xf numFmtId="0" fontId="0" fillId="0" borderId="0" xfId="0" applyAlignment="1">
      <alignment horizontal="left"/>
    </xf>
    <xf numFmtId="0" fontId="4" fillId="0" borderId="0" xfId="1" applyFont="1"/>
    <xf numFmtId="0" fontId="1" fillId="0" borderId="15" xfId="1" applyBorder="1"/>
    <xf numFmtId="0" fontId="1" fillId="0" borderId="16" xfId="1" applyBorder="1"/>
    <xf numFmtId="2" fontId="1" fillId="0" borderId="16" xfId="1" applyNumberFormat="1" applyBorder="1"/>
    <xf numFmtId="1" fontId="1" fillId="0" borderId="16" xfId="1" applyNumberFormat="1" applyBorder="1"/>
    <xf numFmtId="0" fontId="1" fillId="0" borderId="8" xfId="1" applyBorder="1"/>
    <xf numFmtId="0" fontId="9" fillId="0" borderId="0" xfId="2"/>
    <xf numFmtId="0" fontId="2" fillId="0" borderId="0" xfId="2" applyFont="1"/>
    <xf numFmtId="0" fontId="2" fillId="0" borderId="1" xfId="2" applyFont="1" applyBorder="1"/>
    <xf numFmtId="0" fontId="3" fillId="0" borderId="0" xfId="2" applyFont="1"/>
    <xf numFmtId="0" fontId="2" fillId="0" borderId="0" xfId="2" applyFont="1" applyBorder="1"/>
    <xf numFmtId="0" fontId="2" fillId="0" borderId="2" xfId="2" applyFont="1" applyBorder="1"/>
    <xf numFmtId="0" fontId="9" fillId="0" borderId="1" xfId="2" applyBorder="1"/>
    <xf numFmtId="0" fontId="9" fillId="0" borderId="1" xfId="2" applyFill="1" applyBorder="1"/>
    <xf numFmtId="0" fontId="2" fillId="0" borderId="7" xfId="2" applyFont="1" applyBorder="1"/>
    <xf numFmtId="0" fontId="9" fillId="0" borderId="5" xfId="2" applyBorder="1"/>
    <xf numFmtId="0" fontId="1" fillId="0" borderId="6" xfId="2" applyFont="1" applyBorder="1" applyAlignment="1">
      <alignment horizontal="center"/>
    </xf>
    <xf numFmtId="0" fontId="2" fillId="0" borderId="9" xfId="2" applyFont="1" applyBorder="1"/>
    <xf numFmtId="0" fontId="2" fillId="0" borderId="1" xfId="2" applyFont="1" applyBorder="1" applyAlignment="1">
      <alignment horizontal="center"/>
    </xf>
    <xf numFmtId="0" fontId="6" fillId="0" borderId="1" xfId="2" applyFont="1" applyBorder="1" applyAlignment="1">
      <alignment horizontal="center"/>
    </xf>
    <xf numFmtId="0" fontId="2" fillId="0" borderId="3" xfId="2" applyFont="1" applyBorder="1" applyAlignment="1">
      <alignment horizontal="center"/>
    </xf>
    <xf numFmtId="0" fontId="2" fillId="0" borderId="4" xfId="2" applyFont="1" applyBorder="1" applyAlignment="1">
      <alignment horizontal="center"/>
    </xf>
    <xf numFmtId="0" fontId="6" fillId="0" borderId="5" xfId="2" applyFont="1" applyBorder="1"/>
    <xf numFmtId="0" fontId="6" fillId="0" borderId="6" xfId="2" applyFont="1" applyBorder="1" applyAlignment="1">
      <alignment horizontal="center"/>
    </xf>
    <xf numFmtId="0" fontId="2" fillId="0" borderId="10" xfId="2" applyFont="1" applyBorder="1"/>
    <xf numFmtId="0" fontId="2" fillId="0" borderId="14" xfId="2" applyFont="1" applyBorder="1" applyAlignment="1">
      <alignment horizontal="center"/>
    </xf>
    <xf numFmtId="0" fontId="9" fillId="0" borderId="11" xfId="2" applyBorder="1"/>
    <xf numFmtId="0" fontId="9" fillId="0" borderId="12" xfId="2" applyBorder="1"/>
    <xf numFmtId="2" fontId="9" fillId="0" borderId="1" xfId="2" applyNumberFormat="1" applyBorder="1"/>
    <xf numFmtId="1" fontId="9" fillId="0" borderId="1" xfId="2" applyNumberFormat="1" applyBorder="1"/>
    <xf numFmtId="2" fontId="9" fillId="0" borderId="0" xfId="2" applyNumberFormat="1" applyBorder="1"/>
    <xf numFmtId="1" fontId="9" fillId="0" borderId="0" xfId="2" applyNumberFormat="1" applyBorder="1"/>
    <xf numFmtId="0" fontId="6" fillId="0" borderId="9" xfId="2" applyFont="1" applyBorder="1"/>
    <xf numFmtId="0" fontId="1" fillId="0" borderId="13" xfId="1" applyBorder="1" applyAlignment="1">
      <alignment horizontal="right"/>
    </xf>
    <xf numFmtId="1" fontId="0" fillId="0" borderId="1" xfId="0" applyNumberFormat="1" applyBorder="1"/>
    <xf numFmtId="1" fontId="1" fillId="0" borderId="17" xfId="1" applyNumberFormat="1" applyBorder="1"/>
    <xf numFmtId="1" fontId="0" fillId="0" borderId="0" xfId="0" applyNumberFormat="1" applyBorder="1"/>
    <xf numFmtId="0" fontId="0" fillId="0" borderId="0" xfId="0" applyBorder="1"/>
    <xf numFmtId="1" fontId="0" fillId="0" borderId="17" xfId="0" applyNumberFormat="1" applyBorder="1"/>
    <xf numFmtId="1" fontId="0" fillId="0" borderId="18" xfId="0" applyNumberFormat="1" applyBorder="1"/>
    <xf numFmtId="2" fontId="1" fillId="0" borderId="1" xfId="1" applyNumberFormat="1" applyFill="1" applyBorder="1"/>
    <xf numFmtId="0" fontId="1" fillId="0" borderId="0" xfId="1" applyFill="1"/>
    <xf numFmtId="0" fontId="0" fillId="0" borderId="18" xfId="0" applyBorder="1"/>
    <xf numFmtId="0" fontId="0" fillId="0" borderId="9" xfId="0" applyBorder="1"/>
    <xf numFmtId="0" fontId="0" fillId="0" borderId="16" xfId="0" applyBorder="1"/>
    <xf numFmtId="1" fontId="0" fillId="0" borderId="19" xfId="0" applyNumberFormat="1" applyBorder="1"/>
    <xf numFmtId="2" fontId="1" fillId="0" borderId="0" xfId="1" applyNumberFormat="1" applyFill="1"/>
    <xf numFmtId="0" fontId="23" fillId="0" borderId="0" xfId="0" applyFont="1"/>
    <xf numFmtId="1" fontId="1" fillId="0" borderId="1" xfId="1" applyNumberFormat="1" applyFill="1" applyBorder="1"/>
    <xf numFmtId="1" fontId="1" fillId="0" borderId="17" xfId="1" applyNumberFormat="1" applyFill="1" applyBorder="1"/>
    <xf numFmtId="1" fontId="0" fillId="0" borderId="19" xfId="0" applyNumberFormat="1" applyFill="1" applyBorder="1"/>
    <xf numFmtId="1" fontId="9" fillId="0" borderId="17" xfId="2" applyNumberFormat="1" applyBorder="1"/>
    <xf numFmtId="1" fontId="9" fillId="0" borderId="18" xfId="2" applyNumberFormat="1" applyBorder="1"/>
    <xf numFmtId="0" fontId="24" fillId="0" borderId="1" xfId="0" applyFont="1" applyBorder="1"/>
    <xf numFmtId="0" fontId="1" fillId="0" borderId="12" xfId="2" applyFont="1" applyBorder="1"/>
    <xf numFmtId="0" fontId="0" fillId="0" borderId="8" xfId="0" applyBorder="1"/>
    <xf numFmtId="0" fontId="24" fillId="0" borderId="9" xfId="0" applyFont="1" applyBorder="1"/>
    <xf numFmtId="0" fontId="1" fillId="0" borderId="0" xfId="2" applyFont="1"/>
    <xf numFmtId="2" fontId="9" fillId="0" borderId="1" xfId="2" applyNumberFormat="1" applyFill="1" applyBorder="1"/>
    <xf numFmtId="0" fontId="1" fillId="0" borderId="20" xfId="1" applyFill="1" applyBorder="1"/>
    <xf numFmtId="0" fontId="6" fillId="2" borderId="1" xfId="1" applyFont="1" applyFill="1" applyBorder="1" applyAlignment="1">
      <alignment horizontal="center"/>
    </xf>
    <xf numFmtId="0" fontId="2" fillId="2" borderId="1" xfId="1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3" xfId="2" applyFont="1" applyFill="1" applyBorder="1" applyAlignment="1">
      <alignment horizontal="center"/>
    </xf>
    <xf numFmtId="0" fontId="2" fillId="2" borderId="14" xfId="2" applyFont="1" applyFill="1" applyBorder="1" applyAlignment="1">
      <alignment horizontal="center"/>
    </xf>
    <xf numFmtId="0" fontId="2" fillId="2" borderId="4" xfId="2" applyFont="1" applyFill="1" applyBorder="1" applyAlignment="1">
      <alignment horizontal="center"/>
    </xf>
    <xf numFmtId="0" fontId="2" fillId="2" borderId="9" xfId="2" applyFont="1" applyFill="1" applyBorder="1"/>
    <xf numFmtId="0" fontId="2" fillId="2" borderId="1" xfId="2" applyFont="1" applyFill="1" applyBorder="1" applyAlignment="1">
      <alignment horizontal="center"/>
    </xf>
    <xf numFmtId="0" fontId="2" fillId="2" borderId="4" xfId="1" applyFont="1" applyFill="1" applyBorder="1" applyAlignment="1">
      <alignment horizontal="center"/>
    </xf>
    <xf numFmtId="0" fontId="0" fillId="0" borderId="0" xfId="0" applyBorder="1"/>
    <xf numFmtId="0" fontId="0" fillId="0" borderId="0" xfId="0"/>
    <xf numFmtId="0" fontId="0" fillId="0" borderId="0" xfId="0" applyBorder="1"/>
    <xf numFmtId="0" fontId="25" fillId="0" borderId="0" xfId="1" applyFont="1" applyFill="1" applyBorder="1"/>
    <xf numFmtId="0" fontId="0" fillId="0" borderId="0" xfId="0" applyFont="1"/>
    <xf numFmtId="0" fontId="26" fillId="0" borderId="0" xfId="1" applyFont="1" applyFill="1" applyBorder="1"/>
    <xf numFmtId="0" fontId="22" fillId="0" borderId="0" xfId="0" applyFont="1"/>
    <xf numFmtId="0" fontId="1" fillId="0" borderId="16" xfId="1" applyFill="1" applyBorder="1"/>
    <xf numFmtId="0" fontId="1" fillId="0" borderId="21" xfId="1" applyBorder="1"/>
    <xf numFmtId="2" fontId="1" fillId="0" borderId="9" xfId="1" applyNumberFormat="1" applyFill="1" applyBorder="1"/>
    <xf numFmtId="2" fontId="1" fillId="0" borderId="9" xfId="1" applyNumberFormat="1" applyBorder="1"/>
    <xf numFmtId="1" fontId="1" fillId="0" borderId="9" xfId="1" applyNumberFormat="1" applyBorder="1"/>
    <xf numFmtId="1" fontId="1" fillId="0" borderId="22" xfId="1" applyNumberFormat="1" applyBorder="1"/>
    <xf numFmtId="0" fontId="1" fillId="0" borderId="17" xfId="1" applyBorder="1"/>
    <xf numFmtId="0" fontId="9" fillId="0" borderId="0" xfId="2" applyFill="1"/>
    <xf numFmtId="0" fontId="9" fillId="0" borderId="8" xfId="2" applyBorder="1"/>
    <xf numFmtId="1" fontId="9" fillId="0" borderId="0" xfId="2" applyNumberFormat="1"/>
    <xf numFmtId="0" fontId="27" fillId="0" borderId="0" xfId="0" applyFont="1"/>
    <xf numFmtId="0" fontId="10" fillId="0" borderId="1" xfId="2" applyFont="1" applyBorder="1"/>
    <xf numFmtId="0" fontId="10" fillId="0" borderId="0" xfId="2" applyFont="1" applyBorder="1"/>
    <xf numFmtId="0" fontId="10" fillId="0" borderId="3" xfId="2" applyFont="1" applyBorder="1" applyAlignment="1">
      <alignment horizontal="center"/>
    </xf>
    <xf numFmtId="0" fontId="11" fillId="0" borderId="0" xfId="2" applyFont="1"/>
    <xf numFmtId="0" fontId="10" fillId="0" borderId="2" xfId="2" applyFont="1" applyBorder="1"/>
    <xf numFmtId="0" fontId="10" fillId="0" borderId="4" xfId="2" applyFont="1" applyBorder="1" applyAlignment="1">
      <alignment horizontal="center"/>
    </xf>
    <xf numFmtId="0" fontId="11" fillId="0" borderId="5" xfId="2" applyFont="1" applyBorder="1"/>
    <xf numFmtId="0" fontId="11" fillId="0" borderId="6" xfId="2" applyFont="1" applyBorder="1" applyAlignment="1">
      <alignment horizontal="center"/>
    </xf>
    <xf numFmtId="0" fontId="28" fillId="0" borderId="0" xfId="1" applyFont="1" applyFill="1" applyBorder="1"/>
    <xf numFmtId="0" fontId="29" fillId="0" borderId="0" xfId="1" applyFont="1" applyFill="1" applyBorder="1"/>
    <xf numFmtId="0" fontId="1" fillId="0" borderId="0" xfId="3"/>
    <xf numFmtId="0" fontId="3" fillId="0" borderId="0" xfId="3" applyFont="1"/>
    <xf numFmtId="0" fontId="2" fillId="0" borderId="0" xfId="3" applyFont="1"/>
    <xf numFmtId="0" fontId="2" fillId="0" borderId="1" xfId="3" applyFont="1" applyBorder="1"/>
    <xf numFmtId="0" fontId="2" fillId="0" borderId="0" xfId="3" applyFont="1" applyBorder="1"/>
    <xf numFmtId="0" fontId="1" fillId="0" borderId="23" xfId="1" applyBorder="1"/>
    <xf numFmtId="0" fontId="2" fillId="0" borderId="9" xfId="3" applyFont="1" applyBorder="1"/>
    <xf numFmtId="0" fontId="2" fillId="0" borderId="1" xfId="3" applyFont="1" applyFill="1" applyBorder="1" applyAlignment="1">
      <alignment horizontal="center"/>
    </xf>
    <xf numFmtId="0" fontId="2" fillId="0" borderId="1" xfId="3" applyFont="1" applyBorder="1" applyAlignment="1">
      <alignment horizontal="center"/>
    </xf>
    <xf numFmtId="0" fontId="0" fillId="0" borderId="24" xfId="0" applyBorder="1"/>
    <xf numFmtId="0" fontId="6" fillId="0" borderId="9" xfId="3" applyFont="1" applyBorder="1"/>
    <xf numFmtId="0" fontId="6" fillId="0" borderId="1" xfId="3" applyFont="1" applyBorder="1" applyAlignment="1">
      <alignment horizontal="center"/>
    </xf>
    <xf numFmtId="0" fontId="0" fillId="0" borderId="0" xfId="0" applyFont="1"/>
    <xf numFmtId="0" fontId="0" fillId="0" borderId="0" xfId="0"/>
    <xf numFmtId="0" fontId="6" fillId="0" borderId="1" xfId="1" applyFont="1" applyBorder="1" applyAlignment="1">
      <alignment vertical="center"/>
    </xf>
    <xf numFmtId="0" fontId="0" fillId="0" borderId="0" xfId="0"/>
    <xf numFmtId="0" fontId="6" fillId="0" borderId="1" xfId="1" applyFont="1" applyBorder="1" applyAlignment="1">
      <alignment horizontal="center" vertical="center"/>
    </xf>
    <xf numFmtId="164" fontId="0" fillId="0" borderId="0" xfId="0" applyNumberFormat="1"/>
    <xf numFmtId="0" fontId="6" fillId="0" borderId="19" xfId="1" applyFont="1" applyBorder="1" applyAlignment="1">
      <alignment horizontal="center" vertical="center"/>
    </xf>
    <xf numFmtId="0" fontId="1" fillId="0" borderId="25" xfId="1" applyBorder="1"/>
    <xf numFmtId="0" fontId="0" fillId="0" borderId="1" xfId="0" applyFont="1" applyBorder="1"/>
    <xf numFmtId="0" fontId="2" fillId="0" borderId="26" xfId="1" applyFont="1" applyBorder="1" applyAlignment="1">
      <alignment horizontal="center"/>
    </xf>
    <xf numFmtId="0" fontId="2" fillId="0" borderId="19" xfId="1" applyFont="1" applyBorder="1" applyAlignment="1">
      <alignment horizontal="center"/>
    </xf>
    <xf numFmtId="0" fontId="4" fillId="0" borderId="27" xfId="1" applyFont="1" applyBorder="1" applyAlignment="1">
      <alignment horizontal="center"/>
    </xf>
    <xf numFmtId="0" fontId="30" fillId="0" borderId="0" xfId="0" applyFont="1"/>
    <xf numFmtId="0" fontId="29" fillId="0" borderId="0" xfId="0" applyFont="1" applyAlignment="1">
      <alignment horizontal="left"/>
    </xf>
    <xf numFmtId="2" fontId="0" fillId="0" borderId="1" xfId="0" applyNumberFormat="1" applyBorder="1"/>
    <xf numFmtId="0" fontId="1" fillId="0" borderId="1" xfId="2" applyFont="1" applyBorder="1"/>
    <xf numFmtId="1" fontId="1" fillId="0" borderId="9" xfId="1" applyNumberFormat="1" applyFill="1" applyBorder="1"/>
    <xf numFmtId="1" fontId="1" fillId="0" borderId="22" xfId="1" applyNumberFormat="1" applyFill="1" applyBorder="1"/>
    <xf numFmtId="1" fontId="0" fillId="0" borderId="28" xfId="0" applyNumberFormat="1" applyFill="1" applyBorder="1"/>
    <xf numFmtId="1" fontId="0" fillId="0" borderId="28" xfId="0" applyNumberFormat="1" applyBorder="1"/>
    <xf numFmtId="0" fontId="11" fillId="0" borderId="9" xfId="2" applyFont="1" applyBorder="1"/>
    <xf numFmtId="1" fontId="0" fillId="0" borderId="9" xfId="0" applyNumberFormat="1" applyBorder="1"/>
    <xf numFmtId="166" fontId="1" fillId="0" borderId="1" xfId="1" applyNumberFormat="1" applyBorder="1"/>
    <xf numFmtId="166" fontId="1" fillId="0" borderId="1" xfId="1" applyNumberFormat="1" applyFill="1" applyBorder="1"/>
    <xf numFmtId="0" fontId="0" fillId="0" borderId="29" xfId="0" applyBorder="1"/>
    <xf numFmtId="0" fontId="2" fillId="2" borderId="1" xfId="1" applyFont="1" applyFill="1" applyBorder="1"/>
    <xf numFmtId="167" fontId="1" fillId="0" borderId="0" xfId="1" applyNumberFormat="1"/>
    <xf numFmtId="167" fontId="1" fillId="0" borderId="1" xfId="1" applyNumberFormat="1" applyBorder="1"/>
    <xf numFmtId="167" fontId="0" fillId="0" borderId="1" xfId="0" applyNumberFormat="1" applyBorder="1"/>
    <xf numFmtId="0" fontId="2" fillId="2" borderId="1" xfId="2" applyFont="1" applyFill="1" applyBorder="1"/>
    <xf numFmtId="0" fontId="0" fillId="0" borderId="19" xfId="0" applyBorder="1"/>
    <xf numFmtId="2" fontId="1" fillId="0" borderId="8" xfId="1" applyNumberFormat="1" applyBorder="1"/>
    <xf numFmtId="0" fontId="1" fillId="2" borderId="13" xfId="1" applyFill="1" applyBorder="1" applyAlignment="1">
      <alignment horizontal="right"/>
    </xf>
    <xf numFmtId="0" fontId="0" fillId="2" borderId="0" xfId="0" applyFill="1"/>
    <xf numFmtId="0" fontId="1" fillId="2" borderId="1" xfId="1" applyFill="1" applyBorder="1"/>
    <xf numFmtId="2" fontId="1" fillId="2" borderId="1" xfId="1" applyNumberFormat="1" applyFill="1" applyBorder="1"/>
    <xf numFmtId="1" fontId="1" fillId="2" borderId="1" xfId="1" applyNumberFormat="1" applyFill="1" applyBorder="1"/>
    <xf numFmtId="0" fontId="0" fillId="0" borderId="0" xfId="0" applyFill="1"/>
    <xf numFmtId="0" fontId="2" fillId="2" borderId="30" xfId="2" applyFont="1" applyFill="1" applyBorder="1" applyAlignment="1">
      <alignment horizontal="center"/>
    </xf>
    <xf numFmtId="0" fontId="9" fillId="0" borderId="9" xfId="2" applyBorder="1"/>
    <xf numFmtId="0" fontId="1" fillId="0" borderId="31" xfId="2" applyFont="1" applyBorder="1" applyAlignment="1">
      <alignment horizontal="center"/>
    </xf>
    <xf numFmtId="0" fontId="0" fillId="0" borderId="17" xfId="0" applyBorder="1"/>
    <xf numFmtId="0" fontId="1" fillId="0" borderId="19" xfId="1" applyBorder="1" applyAlignment="1"/>
    <xf numFmtId="0" fontId="24" fillId="0" borderId="1" xfId="0" applyFont="1" applyBorder="1" applyAlignment="1">
      <alignment horizontal="right"/>
    </xf>
    <xf numFmtId="0" fontId="1" fillId="0" borderId="1" xfId="1" applyBorder="1" applyAlignment="1">
      <alignment horizontal="right"/>
    </xf>
    <xf numFmtId="0" fontId="0" fillId="0" borderId="1" xfId="0" applyNumberFormat="1" applyBorder="1"/>
    <xf numFmtId="166" fontId="0" fillId="0" borderId="1" xfId="0" applyNumberFormat="1" applyBorder="1"/>
    <xf numFmtId="0" fontId="31" fillId="0" borderId="0" xfId="0" applyFont="1"/>
    <xf numFmtId="0" fontId="5" fillId="0" borderId="1" xfId="1" applyFont="1" applyBorder="1"/>
    <xf numFmtId="0" fontId="5" fillId="0" borderId="0" xfId="1" applyFont="1"/>
    <xf numFmtId="0" fontId="5" fillId="0" borderId="1" xfId="1" applyFont="1" applyBorder="1" applyAlignment="1">
      <alignment horizontal="center"/>
    </xf>
    <xf numFmtId="0" fontId="5" fillId="0" borderId="1" xfId="1" applyFont="1" applyFill="1" applyBorder="1"/>
    <xf numFmtId="0" fontId="13" fillId="0" borderId="0" xfId="1" applyFont="1" applyFill="1" applyBorder="1"/>
    <xf numFmtId="0" fontId="32" fillId="0" borderId="0" xfId="0" applyFont="1"/>
    <xf numFmtId="0" fontId="2" fillId="0" borderId="0" xfId="1" applyFont="1" applyFill="1" applyBorder="1"/>
    <xf numFmtId="0" fontId="31" fillId="0" borderId="0" xfId="0" applyFont="1" applyBorder="1"/>
    <xf numFmtId="0" fontId="33" fillId="0" borderId="0" xfId="0" applyFont="1"/>
    <xf numFmtId="0" fontId="2" fillId="0" borderId="12" xfId="1" applyFont="1" applyBorder="1"/>
    <xf numFmtId="0" fontId="2" fillId="0" borderId="11" xfId="1" applyFont="1" applyBorder="1"/>
    <xf numFmtId="0" fontId="2" fillId="0" borderId="13" xfId="1" applyFont="1" applyBorder="1" applyAlignment="1">
      <alignment horizontal="right"/>
    </xf>
    <xf numFmtId="0" fontId="33" fillId="0" borderId="1" xfId="0" applyFont="1" applyBorder="1"/>
    <xf numFmtId="0" fontId="2" fillId="0" borderId="0" xfId="1" applyFont="1" applyFill="1"/>
    <xf numFmtId="2" fontId="2" fillId="0" borderId="1" xfId="1" applyNumberFormat="1" applyFont="1" applyBorder="1"/>
    <xf numFmtId="2" fontId="2" fillId="0" borderId="0" xfId="1" applyNumberFormat="1" applyFont="1" applyBorder="1"/>
    <xf numFmtId="1" fontId="2" fillId="0" borderId="1" xfId="1" applyNumberFormat="1" applyFont="1" applyBorder="1"/>
    <xf numFmtId="1" fontId="2" fillId="0" borderId="0" xfId="1" applyNumberFormat="1" applyFont="1" applyBorder="1"/>
    <xf numFmtId="1" fontId="33" fillId="0" borderId="1" xfId="0" applyNumberFormat="1" applyFont="1" applyBorder="1"/>
    <xf numFmtId="0" fontId="0" fillId="0" borderId="32" xfId="0" applyFill="1" applyBorder="1"/>
    <xf numFmtId="0" fontId="1" fillId="0" borderId="6" xfId="1" applyFill="1" applyBorder="1"/>
    <xf numFmtId="0" fontId="1" fillId="0" borderId="9" xfId="1" applyFill="1" applyBorder="1"/>
    <xf numFmtId="166" fontId="1" fillId="0" borderId="8" xfId="1" applyNumberFormat="1" applyBorder="1"/>
    <xf numFmtId="166" fontId="1" fillId="0" borderId="0" xfId="1" applyNumberFormat="1" applyBorder="1"/>
    <xf numFmtId="0" fontId="1" fillId="0" borderId="14" xfId="1" applyBorder="1"/>
    <xf numFmtId="0" fontId="1" fillId="0" borderId="17" xfId="1" applyBorder="1" applyAlignment="1">
      <alignment horizontal="right"/>
    </xf>
    <xf numFmtId="0" fontId="0" fillId="0" borderId="7" xfId="0" applyBorder="1"/>
    <xf numFmtId="0" fontId="0" fillId="0" borderId="33" xfId="0" applyBorder="1"/>
    <xf numFmtId="0" fontId="0" fillId="0" borderId="11" xfId="0" applyBorder="1"/>
    <xf numFmtId="0" fontId="0" fillId="0" borderId="34" xfId="0" applyBorder="1"/>
    <xf numFmtId="0" fontId="14" fillId="0" borderId="0" xfId="2" applyFont="1" applyAlignment="1">
      <alignment vertical="center"/>
    </xf>
    <xf numFmtId="0" fontId="15" fillId="0" borderId="0" xfId="2" applyFont="1" applyAlignment="1">
      <alignment horizontal="center" vertical="center"/>
    </xf>
    <xf numFmtId="0" fontId="34" fillId="0" borderId="0" xfId="0" applyFont="1" applyAlignment="1">
      <alignment vertical="center"/>
    </xf>
    <xf numFmtId="0" fontId="16" fillId="0" borderId="0" xfId="2" applyFont="1" applyAlignment="1">
      <alignment vertical="center"/>
    </xf>
    <xf numFmtId="0" fontId="17" fillId="0" borderId="0" xfId="2" applyFont="1" applyAlignment="1">
      <alignment vertical="center"/>
    </xf>
    <xf numFmtId="0" fontId="18" fillId="0" borderId="0" xfId="2" applyFont="1" applyAlignment="1">
      <alignment vertical="center"/>
    </xf>
    <xf numFmtId="0" fontId="19" fillId="0" borderId="1" xfId="2" applyFont="1" applyBorder="1" applyAlignment="1">
      <alignment vertical="center"/>
    </xf>
    <xf numFmtId="0" fontId="19" fillId="0" borderId="0" xfId="2" applyFont="1" applyBorder="1" applyAlignment="1">
      <alignment vertical="center"/>
    </xf>
    <xf numFmtId="0" fontId="35" fillId="0" borderId="0" xfId="0" applyFont="1" applyAlignment="1">
      <alignment vertical="center"/>
    </xf>
    <xf numFmtId="0" fontId="34" fillId="0" borderId="0" xfId="0" applyFont="1" applyBorder="1" applyAlignment="1">
      <alignment vertical="center"/>
    </xf>
    <xf numFmtId="0" fontId="34" fillId="0" borderId="1" xfId="0" applyFont="1" applyBorder="1" applyAlignment="1">
      <alignment vertical="center"/>
    </xf>
    <xf numFmtId="1" fontId="34" fillId="0" borderId="0" xfId="0" applyNumberFormat="1" applyFont="1" applyBorder="1" applyAlignment="1">
      <alignment vertical="center"/>
    </xf>
    <xf numFmtId="0" fontId="14" fillId="0" borderId="0" xfId="2" applyFont="1" applyAlignment="1">
      <alignment horizontal="right" vertical="center"/>
    </xf>
    <xf numFmtId="0" fontId="19" fillId="0" borderId="0" xfId="2" applyFont="1" applyBorder="1" applyAlignment="1">
      <alignment horizontal="right" vertical="center"/>
    </xf>
    <xf numFmtId="165" fontId="19" fillId="0" borderId="1" xfId="2" applyNumberFormat="1" applyFont="1" applyBorder="1" applyAlignment="1">
      <alignment horizontal="right" vertical="center"/>
    </xf>
    <xf numFmtId="0" fontId="19" fillId="0" borderId="1" xfId="2" applyFont="1" applyBorder="1" applyAlignment="1">
      <alignment horizontal="right" vertical="center"/>
    </xf>
    <xf numFmtId="0" fontId="34" fillId="0" borderId="0" xfId="0" applyFont="1" applyAlignment="1">
      <alignment horizontal="right" vertical="center"/>
    </xf>
    <xf numFmtId="0" fontId="35" fillId="0" borderId="0" xfId="0" applyFont="1" applyAlignment="1">
      <alignment horizontal="right" vertical="center"/>
    </xf>
    <xf numFmtId="0" fontId="20" fillId="0" borderId="0" xfId="1" applyFont="1" applyFill="1" applyBorder="1" applyAlignment="1">
      <alignment horizontal="center" vertical="center"/>
    </xf>
    <xf numFmtId="0" fontId="19" fillId="0" borderId="0" xfId="1" applyFont="1" applyFill="1" applyBorder="1" applyAlignment="1">
      <alignment horizontal="center" vertical="center"/>
    </xf>
    <xf numFmtId="0" fontId="19" fillId="0" borderId="8" xfId="2" applyFont="1" applyBorder="1" applyAlignment="1">
      <alignment vertical="center"/>
    </xf>
    <xf numFmtId="1" fontId="19" fillId="0" borderId="1" xfId="2" applyNumberFormat="1" applyFont="1" applyBorder="1" applyAlignment="1">
      <alignment vertical="center"/>
    </xf>
    <xf numFmtId="0" fontId="19" fillId="0" borderId="0" xfId="2" applyFont="1" applyAlignment="1">
      <alignment vertical="center"/>
    </xf>
    <xf numFmtId="2" fontId="19" fillId="0" borderId="1" xfId="2" applyNumberFormat="1" applyFont="1" applyFill="1" applyBorder="1" applyAlignment="1">
      <alignment vertical="center"/>
    </xf>
    <xf numFmtId="2" fontId="19" fillId="0" borderId="0" xfId="2" applyNumberFormat="1" applyFont="1" applyBorder="1" applyAlignment="1">
      <alignment vertical="center"/>
    </xf>
    <xf numFmtId="2" fontId="19" fillId="3" borderId="1" xfId="2" applyNumberFormat="1" applyFont="1" applyFill="1" applyBorder="1" applyAlignment="1">
      <alignment vertical="center"/>
    </xf>
    <xf numFmtId="2" fontId="19" fillId="0" borderId="1" xfId="2" applyNumberFormat="1" applyFont="1" applyBorder="1" applyAlignment="1">
      <alignment vertical="center"/>
    </xf>
    <xf numFmtId="1" fontId="19" fillId="0" borderId="0" xfId="2" applyNumberFormat="1" applyFont="1" applyBorder="1" applyAlignment="1">
      <alignment vertical="center"/>
    </xf>
    <xf numFmtId="0" fontId="14" fillId="0" borderId="0" xfId="2" applyFont="1"/>
    <xf numFmtId="0" fontId="18" fillId="0" borderId="0" xfId="2" applyFont="1"/>
    <xf numFmtId="0" fontId="34" fillId="0" borderId="0" xfId="0" applyFont="1"/>
    <xf numFmtId="0" fontId="16" fillId="0" borderId="0" xfId="2" applyFont="1"/>
    <xf numFmtId="0" fontId="19" fillId="0" borderId="1" xfId="3" applyFont="1" applyBorder="1" applyAlignment="1">
      <alignment vertical="center"/>
    </xf>
    <xf numFmtId="0" fontId="14" fillId="0" borderId="0" xfId="2" applyFont="1" applyBorder="1"/>
    <xf numFmtId="0" fontId="16" fillId="0" borderId="1" xfId="2" applyFont="1" applyBorder="1"/>
    <xf numFmtId="0" fontId="34" fillId="0" borderId="1" xfId="0" applyFont="1" applyBorder="1"/>
    <xf numFmtId="0" fontId="14" fillId="0" borderId="1" xfId="2" applyFont="1" applyBorder="1"/>
    <xf numFmtId="1" fontId="34" fillId="0" borderId="1" xfId="0" applyNumberFormat="1" applyFont="1" applyBorder="1"/>
    <xf numFmtId="168" fontId="19" fillId="0" borderId="1" xfId="3" applyNumberFormat="1" applyFont="1" applyBorder="1" applyAlignment="1">
      <alignment horizontal="center" vertical="center"/>
    </xf>
    <xf numFmtId="0" fontId="34" fillId="0" borderId="19" xfId="0" applyFont="1" applyBorder="1"/>
    <xf numFmtId="2" fontId="16" fillId="0" borderId="0" xfId="2" applyNumberFormat="1" applyFont="1" applyBorder="1" applyAlignment="1">
      <alignment vertical="center"/>
    </xf>
    <xf numFmtId="2" fontId="34" fillId="0" borderId="1" xfId="0" applyNumberFormat="1" applyFont="1" applyBorder="1" applyAlignment="1">
      <alignment horizontal="right"/>
    </xf>
    <xf numFmtId="1" fontId="19" fillId="0" borderId="1" xfId="3" applyNumberFormat="1" applyFont="1" applyBorder="1" applyAlignment="1">
      <alignment horizontal="center" vertical="center"/>
    </xf>
    <xf numFmtId="0" fontId="19" fillId="0" borderId="1" xfId="3" applyFont="1" applyBorder="1" applyAlignment="1">
      <alignment horizontal="center" vertical="center"/>
    </xf>
    <xf numFmtId="1" fontId="34" fillId="0" borderId="1" xfId="0" applyNumberFormat="1" applyFont="1" applyBorder="1" applyAlignment="1">
      <alignment horizontal="right"/>
    </xf>
    <xf numFmtId="1" fontId="16" fillId="0" borderId="0" xfId="2" applyNumberFormat="1" applyFont="1" applyBorder="1"/>
    <xf numFmtId="0" fontId="21" fillId="0" borderId="0" xfId="1" applyFont="1" applyFill="1" applyBorder="1"/>
    <xf numFmtId="0" fontId="36" fillId="0" borderId="0" xfId="0" applyFont="1"/>
    <xf numFmtId="0" fontId="14" fillId="0" borderId="0" xfId="1" applyFont="1" applyFill="1" applyBorder="1"/>
    <xf numFmtId="0" fontId="34" fillId="0" borderId="0" xfId="0" applyFont="1" applyBorder="1"/>
    <xf numFmtId="0" fontId="14" fillId="0" borderId="0" xfId="1" applyFont="1"/>
    <xf numFmtId="0" fontId="18" fillId="0" borderId="0" xfId="1" applyFont="1"/>
    <xf numFmtId="0" fontId="16" fillId="0" borderId="0" xfId="1" applyFont="1"/>
    <xf numFmtId="0" fontId="14" fillId="0" borderId="1" xfId="1" applyFont="1" applyBorder="1"/>
    <xf numFmtId="0" fontId="14" fillId="0" borderId="0" xfId="1" applyFont="1" applyBorder="1"/>
    <xf numFmtId="0" fontId="16" fillId="0" borderId="1" xfId="1" applyFont="1" applyBorder="1"/>
    <xf numFmtId="0" fontId="16" fillId="0" borderId="0" xfId="1" applyFont="1" applyFill="1"/>
    <xf numFmtId="0" fontId="16" fillId="0" borderId="1" xfId="1" applyFont="1" applyFill="1" applyBorder="1"/>
    <xf numFmtId="2" fontId="16" fillId="0" borderId="1" xfId="1" applyNumberFormat="1" applyFont="1" applyFill="1" applyBorder="1"/>
    <xf numFmtId="2" fontId="16" fillId="0" borderId="0" xfId="1" applyNumberFormat="1" applyFont="1" applyBorder="1"/>
    <xf numFmtId="2" fontId="16" fillId="0" borderId="1" xfId="1" applyNumberFormat="1" applyFont="1" applyBorder="1"/>
    <xf numFmtId="1" fontId="16" fillId="0" borderId="1" xfId="1" applyNumberFormat="1" applyFont="1" applyBorder="1"/>
    <xf numFmtId="1" fontId="16" fillId="0" borderId="0" xfId="1" applyNumberFormat="1" applyFont="1" applyBorder="1"/>
    <xf numFmtId="0" fontId="16" fillId="0" borderId="6" xfId="1" applyFont="1" applyBorder="1" applyAlignment="1">
      <alignment horizontal="center"/>
    </xf>
    <xf numFmtId="0" fontId="14" fillId="0" borderId="1" xfId="1" applyFont="1" applyFill="1" applyBorder="1"/>
    <xf numFmtId="0" fontId="14" fillId="0" borderId="1" xfId="1" applyFont="1" applyBorder="1" applyAlignment="1">
      <alignment horizontal="center"/>
    </xf>
    <xf numFmtId="0" fontId="16" fillId="0" borderId="8" xfId="1" applyFont="1" applyBorder="1"/>
    <xf numFmtId="0" fontId="14" fillId="0" borderId="7" xfId="1" applyFont="1" applyBorder="1"/>
    <xf numFmtId="0" fontId="14" fillId="0" borderId="3" xfId="1" applyFont="1" applyBorder="1" applyAlignment="1">
      <alignment horizontal="center"/>
    </xf>
    <xf numFmtId="0" fontId="14" fillId="0" borderId="2" xfId="1" applyFont="1" applyBorder="1"/>
    <xf numFmtId="0" fontId="14" fillId="0" borderId="4" xfId="1" applyFont="1" applyBorder="1" applyAlignment="1">
      <alignment horizontal="center"/>
    </xf>
    <xf numFmtId="0" fontId="34" fillId="0" borderId="0" xfId="0" applyFont="1" applyFill="1" applyBorder="1"/>
    <xf numFmtId="0" fontId="16" fillId="0" borderId="5" xfId="1" applyFont="1" applyBorder="1"/>
    <xf numFmtId="4" fontId="34" fillId="0" borderId="0" xfId="0" applyNumberFormat="1" applyFont="1"/>
    <xf numFmtId="4" fontId="16" fillId="0" borderId="0" xfId="1" applyNumberFormat="1" applyFont="1" applyBorder="1"/>
    <xf numFmtId="4" fontId="16" fillId="0" borderId="1" xfId="1" applyNumberFormat="1" applyFont="1" applyBorder="1"/>
    <xf numFmtId="4" fontId="16" fillId="0" borderId="8" xfId="1" applyNumberFormat="1" applyFont="1" applyBorder="1"/>
    <xf numFmtId="3" fontId="16" fillId="0" borderId="1" xfId="1" applyNumberFormat="1" applyFont="1" applyBorder="1"/>
    <xf numFmtId="0" fontId="37" fillId="0" borderId="1" xfId="0" applyFont="1" applyBorder="1"/>
    <xf numFmtId="0" fontId="37" fillId="0" borderId="1" xfId="0" applyFont="1" applyBorder="1" applyAlignment="1">
      <alignment horizontal="center"/>
    </xf>
    <xf numFmtId="0" fontId="0" fillId="0" borderId="0" xfId="0" applyAlignment="1">
      <alignment horizontal="left" vertical="center" wrapText="1"/>
    </xf>
    <xf numFmtId="0" fontId="0" fillId="0" borderId="0" xfId="0" applyAlignment="1"/>
    <xf numFmtId="169" fontId="0" fillId="0" borderId="0" xfId="0" applyNumberFormat="1"/>
    <xf numFmtId="0" fontId="1" fillId="4" borderId="0" xfId="0" applyNumberFormat="1" applyFont="1" applyFill="1" applyBorder="1" applyAlignment="1" applyProtection="1"/>
    <xf numFmtId="0" fontId="1" fillId="4" borderId="0" xfId="0" applyNumberFormat="1" applyFont="1" applyFill="1" applyAlignment="1" applyProtection="1"/>
    <xf numFmtId="0" fontId="0" fillId="0" borderId="0" xfId="0" applyNumberFormat="1" applyAlignment="1"/>
    <xf numFmtId="0" fontId="38" fillId="6" borderId="0" xfId="0" applyFont="1" applyFill="1" applyAlignment="1">
      <alignment horizontal="left" vertical="center"/>
    </xf>
    <xf numFmtId="0" fontId="38" fillId="5" borderId="0" xfId="0" applyFont="1" applyFill="1" applyAlignment="1">
      <alignment horizontal="left" vertical="center"/>
    </xf>
    <xf numFmtId="0" fontId="38" fillId="5" borderId="0" xfId="0" applyNumberFormat="1" applyFont="1" applyFill="1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3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5" fillId="0" borderId="35" xfId="1" applyFont="1" applyBorder="1" applyAlignment="1">
      <alignment horizontal="center" vertical="center"/>
    </xf>
    <xf numFmtId="0" fontId="4" fillId="0" borderId="35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/>
    </xf>
    <xf numFmtId="0" fontId="2" fillId="0" borderId="17" xfId="1" applyFont="1" applyBorder="1" applyAlignment="1">
      <alignment horizontal="center" vertical="center"/>
    </xf>
    <xf numFmtId="0" fontId="1" fillId="0" borderId="16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24" xfId="1" applyBorder="1" applyAlignment="1">
      <alignment horizontal="center" vertical="center" wrapText="1"/>
    </xf>
    <xf numFmtId="0" fontId="1" fillId="0" borderId="0" xfId="1" applyBorder="1" applyAlignment="1">
      <alignment horizontal="center" vertical="center" wrapText="1"/>
    </xf>
    <xf numFmtId="0" fontId="1" fillId="0" borderId="37" xfId="1" applyBorder="1" applyAlignment="1">
      <alignment horizontal="center" vertical="center" wrapText="1"/>
    </xf>
    <xf numFmtId="0" fontId="1" fillId="0" borderId="38" xfId="1" applyBorder="1" applyAlignment="1">
      <alignment horizontal="center" vertical="center" wrapText="1"/>
    </xf>
    <xf numFmtId="0" fontId="1" fillId="0" borderId="39" xfId="1" applyBorder="1" applyAlignment="1">
      <alignment horizontal="center" vertical="center" wrapText="1"/>
    </xf>
    <xf numFmtId="0" fontId="1" fillId="0" borderId="25" xfId="1" applyBorder="1" applyAlignment="1">
      <alignment horizontal="center" vertical="center" wrapText="1"/>
    </xf>
    <xf numFmtId="0" fontId="2" fillId="0" borderId="16" xfId="1" applyFont="1" applyBorder="1" applyAlignment="1">
      <alignment horizontal="center" vertical="center"/>
    </xf>
    <xf numFmtId="0" fontId="5" fillId="0" borderId="16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2" fontId="1" fillId="0" borderId="40" xfId="1" applyNumberFormat="1" applyFill="1" applyBorder="1" applyAlignment="1">
      <alignment horizontal="center" vertical="center"/>
    </xf>
    <xf numFmtId="2" fontId="1" fillId="0" borderId="22" xfId="1" applyNumberFormat="1" applyFill="1" applyBorder="1" applyAlignment="1">
      <alignment horizontal="center" vertical="center"/>
    </xf>
    <xf numFmtId="2" fontId="1" fillId="0" borderId="24" xfId="1" applyNumberFormat="1" applyFill="1" applyBorder="1" applyAlignment="1">
      <alignment horizontal="center" vertical="center"/>
    </xf>
    <xf numFmtId="2" fontId="1" fillId="0" borderId="37" xfId="1" applyNumberFormat="1" applyFill="1" applyBorder="1" applyAlignment="1">
      <alignment horizontal="center" vertical="center"/>
    </xf>
    <xf numFmtId="2" fontId="1" fillId="0" borderId="38" xfId="1" applyNumberFormat="1" applyFill="1" applyBorder="1" applyAlignment="1">
      <alignment horizontal="center" vertical="center"/>
    </xf>
    <xf numFmtId="2" fontId="1" fillId="0" borderId="25" xfId="1" applyNumberFormat="1" applyFill="1" applyBorder="1" applyAlignment="1">
      <alignment horizontal="center" vertical="center"/>
    </xf>
    <xf numFmtId="0" fontId="1" fillId="0" borderId="19" xfId="2" applyFont="1" applyBorder="1" applyAlignment="1">
      <alignment horizontal="left"/>
    </xf>
    <xf numFmtId="0" fontId="9" fillId="0" borderId="28" xfId="2" applyBorder="1" applyAlignment="1">
      <alignment horizontal="left"/>
    </xf>
    <xf numFmtId="0" fontId="9" fillId="0" borderId="9" xfId="2" applyBorder="1" applyAlignment="1">
      <alignment horizontal="left"/>
    </xf>
    <xf numFmtId="0" fontId="10" fillId="0" borderId="41" xfId="2" applyFont="1" applyBorder="1" applyAlignment="1">
      <alignment horizontal="center" vertical="center"/>
    </xf>
    <xf numFmtId="0" fontId="11" fillId="0" borderId="35" xfId="2" applyFont="1" applyBorder="1" applyAlignment="1">
      <alignment horizontal="center" vertical="center"/>
    </xf>
    <xf numFmtId="0" fontId="11" fillId="0" borderId="36" xfId="2" applyFont="1" applyBorder="1" applyAlignment="1">
      <alignment horizontal="center" vertical="center"/>
    </xf>
    <xf numFmtId="0" fontId="16" fillId="0" borderId="1" xfId="1" applyFont="1" applyBorder="1" applyAlignment="1">
      <alignment horizontal="center" vertical="center"/>
    </xf>
    <xf numFmtId="0" fontId="5" fillId="0" borderId="42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1" fillId="0" borderId="19" xfId="1" applyBorder="1" applyAlignment="1">
      <alignment horizontal="center"/>
    </xf>
    <xf numFmtId="0" fontId="1" fillId="0" borderId="28" xfId="1" applyBorder="1" applyAlignment="1">
      <alignment horizontal="center"/>
    </xf>
    <xf numFmtId="0" fontId="1" fillId="0" borderId="9" xfId="1" applyBorder="1" applyAlignment="1">
      <alignment horizontal="center"/>
    </xf>
    <xf numFmtId="0" fontId="16" fillId="0" borderId="35" xfId="1" applyFont="1" applyBorder="1" applyAlignment="1">
      <alignment horizontal="center" vertical="center"/>
    </xf>
    <xf numFmtId="0" fontId="16" fillId="0" borderId="36" xfId="1" applyFont="1" applyBorder="1" applyAlignment="1">
      <alignment horizontal="center" vertical="center"/>
    </xf>
    <xf numFmtId="0" fontId="1" fillId="0" borderId="1" xfId="1" applyBorder="1" applyAlignment="1">
      <alignment horizontal="center"/>
    </xf>
    <xf numFmtId="0" fontId="19" fillId="0" borderId="1" xfId="2" applyFont="1" applyBorder="1" applyAlignment="1">
      <alignment horizontal="center" vertical="center"/>
    </xf>
    <xf numFmtId="0" fontId="19" fillId="0" borderId="19" xfId="2" applyFont="1" applyBorder="1" applyAlignment="1">
      <alignment horizontal="center" vertical="center"/>
    </xf>
    <xf numFmtId="0" fontId="19" fillId="0" borderId="9" xfId="2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2" fillId="0" borderId="17" xfId="3" applyFont="1" applyBorder="1" applyAlignment="1">
      <alignment horizontal="center" vertical="center"/>
    </xf>
    <xf numFmtId="0" fontId="2" fillId="0" borderId="16" xfId="3" applyFont="1" applyBorder="1" applyAlignment="1">
      <alignment horizontal="center" vertical="center"/>
    </xf>
    <xf numFmtId="0" fontId="1" fillId="0" borderId="16" xfId="3" applyBorder="1" applyAlignment="1">
      <alignment horizontal="center" vertical="center"/>
    </xf>
    <xf numFmtId="0" fontId="1" fillId="0" borderId="8" xfId="3" applyBorder="1" applyAlignment="1">
      <alignment horizontal="center" vertical="center"/>
    </xf>
    <xf numFmtId="0" fontId="5" fillId="0" borderId="35" xfId="2" applyFont="1" applyBorder="1" applyAlignment="1">
      <alignment horizontal="center" vertical="center"/>
    </xf>
    <xf numFmtId="0" fontId="1" fillId="0" borderId="35" xfId="2" applyFont="1" applyBorder="1" applyAlignment="1">
      <alignment horizontal="center" vertical="center"/>
    </xf>
    <xf numFmtId="0" fontId="1" fillId="0" borderId="36" xfId="2" applyFont="1" applyBorder="1" applyAlignment="1">
      <alignment horizontal="center" vertical="center"/>
    </xf>
    <xf numFmtId="2" fontId="1" fillId="0" borderId="24" xfId="1" applyNumberFormat="1" applyBorder="1" applyAlignment="1">
      <alignment horizontal="center" vertical="center"/>
    </xf>
    <xf numFmtId="2" fontId="1" fillId="0" borderId="37" xfId="1" applyNumberFormat="1" applyBorder="1" applyAlignment="1">
      <alignment horizontal="center" vertical="center"/>
    </xf>
    <xf numFmtId="2" fontId="1" fillId="0" borderId="38" xfId="1" applyNumberFormat="1" applyBorder="1" applyAlignment="1">
      <alignment horizontal="center" vertical="center"/>
    </xf>
    <xf numFmtId="2" fontId="1" fillId="0" borderId="25" xfId="1" applyNumberFormat="1" applyBorder="1" applyAlignment="1">
      <alignment horizontal="center" vertical="center"/>
    </xf>
    <xf numFmtId="0" fontId="2" fillId="0" borderId="17" xfId="2" applyFont="1" applyBorder="1" applyAlignment="1">
      <alignment horizontal="center" vertical="center"/>
    </xf>
    <xf numFmtId="0" fontId="9" fillId="0" borderId="16" xfId="2" applyBorder="1" applyAlignment="1">
      <alignment horizontal="center" vertical="center"/>
    </xf>
    <xf numFmtId="0" fontId="9" fillId="0" borderId="8" xfId="2" applyBorder="1" applyAlignment="1">
      <alignment horizontal="center" vertical="center"/>
    </xf>
    <xf numFmtId="0" fontId="2" fillId="0" borderId="16" xfId="2" applyFont="1" applyBorder="1" applyAlignment="1">
      <alignment horizontal="center" vertical="center"/>
    </xf>
    <xf numFmtId="2" fontId="1" fillId="0" borderId="24" xfId="2" applyNumberFormat="1" applyFont="1" applyBorder="1" applyAlignment="1">
      <alignment horizontal="center" vertical="center"/>
    </xf>
    <xf numFmtId="2" fontId="9" fillId="0" borderId="37" xfId="2" applyNumberFormat="1" applyBorder="1" applyAlignment="1">
      <alignment horizontal="center" vertical="center"/>
    </xf>
    <xf numFmtId="2" fontId="9" fillId="0" borderId="24" xfId="2" applyNumberFormat="1" applyBorder="1" applyAlignment="1">
      <alignment horizontal="center" vertical="center"/>
    </xf>
    <xf numFmtId="2" fontId="9" fillId="0" borderId="38" xfId="2" applyNumberFormat="1" applyBorder="1" applyAlignment="1">
      <alignment horizontal="center" vertical="center"/>
    </xf>
    <xf numFmtId="2" fontId="9" fillId="0" borderId="25" xfId="2" applyNumberFormat="1" applyBorder="1" applyAlignment="1">
      <alignment horizontal="center" vertical="center"/>
    </xf>
    <xf numFmtId="0" fontId="16" fillId="0" borderId="1" xfId="2" applyFont="1" applyBorder="1" applyAlignment="1">
      <alignment horizontal="center" vertical="center"/>
    </xf>
    <xf numFmtId="0" fontId="1" fillId="4" borderId="0" xfId="0" applyNumberFormat="1" applyFont="1" applyFill="1" applyBorder="1" applyAlignment="1" applyProtection="1">
      <alignment horizontal="left" vertical="center"/>
    </xf>
  </cellXfs>
  <cellStyles count="4">
    <cellStyle name="Normal" xfId="0" builtinId="0"/>
    <cellStyle name="Normal 2" xfId="1"/>
    <cellStyle name="Normal 3" xfId="2"/>
    <cellStyle name="Normal 3 2" xfId="3"/>
  </cellStyles>
  <dxfs count="58"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rgb="FFFFFFCC"/>
        </patternFill>
      </fill>
      <alignment horizontal="general" vertical="bottom" textRotation="0" wrapText="0" indent="0" justifyLastLine="0" shrinkToFit="0" readingOrder="0"/>
      <protection locked="1" hidden="0"/>
    </dxf>
    <dxf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FF00"/>
        <name val="Calibri"/>
        <scheme val="minor"/>
      </font>
      <fill>
        <patternFill patternType="solid">
          <fgColor theme="1" tint="0.44999542222357858"/>
          <bgColor rgb="FFC00000"/>
        </patternFill>
      </fill>
      <alignment horizontal="left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5" Type="http://schemas.openxmlformats.org/officeDocument/2006/relationships/worksheet" Target="worksheets/sheet5.xml"/><Relationship Id="rId61" Type="http://schemas.openxmlformats.org/officeDocument/2006/relationships/theme" Target="theme/theme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calcChain" Target="calcChain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ables/table1.xml><?xml version="1.0" encoding="utf-8"?>
<table xmlns="http://schemas.openxmlformats.org/spreadsheetml/2006/main" id="3" name="Tableau2" displayName="Tableau2" ref="A1:BD187" totalsRowShown="0" headerRowDxfId="57" dataDxfId="56">
  <autoFilter ref="A1:BD187"/>
  <tableColumns count="56">
    <tableColumn id="1" name="Article" dataDxfId="55"/>
    <tableColumn id="2" name="ALPROFENE " dataDxfId="54">
      <calculatedColumnFormula>IFERROR(VLOOKUP($A2,#REF!,2,FALSE),"")</calculatedColumnFormula>
    </tableColumn>
    <tableColumn id="3" name="AMLODEX" dataDxfId="53"/>
    <tableColumn id="4" name="ASPEVASC" dataDxfId="52"/>
    <tableColumn id="5" name="CAPTOPRIL LS25" dataDxfId="51"/>
    <tableColumn id="6" name="CAPTOPRIL LS50" dataDxfId="50"/>
    <tableColumn id="7" name="CETALGINE 100" dataDxfId="49"/>
    <tableColumn id="8" name="CETALGINE 150" dataDxfId="48"/>
    <tableColumn id="9" name="CETALGINE 200" dataDxfId="47"/>
    <tableColumn id="10" name="CETALGINE 300" dataDxfId="46"/>
    <tableColumn id="11" name="CLORAXENE 10" dataDxfId="45"/>
    <tableColumn id="12" name="CLORAXENE 5" dataDxfId="44"/>
    <tableColumn id="13" name="COPARAMOL" dataDxfId="43"/>
    <tableColumn id="14" name="COPARAMOL sous-lots" dataDxfId="42"/>
    <tableColumn id="15" name="DIGESTAT" dataDxfId="41"/>
    <tableColumn id="16" name="DIGESTAT 200" dataDxfId="40"/>
    <tableColumn id="17" name="ECOVAR" dataDxfId="39"/>
    <tableColumn id="18" name="ECOVAR LP" dataDxfId="38"/>
    <tableColumn id="19" name="FENAQUENE 100" dataDxfId="37"/>
    <tableColumn id="20" name="FENAQUENE 25" dataDxfId="36"/>
    <tableColumn id="21" name="FENAQUENE 50" dataDxfId="35"/>
    <tableColumn id="22" name="FONGYNE" dataDxfId="34"/>
    <tableColumn id="23" name="Glycérine Adulte" dataDxfId="33"/>
    <tableColumn id="24" name="Glycérine Bébé" dataDxfId="32"/>
    <tableColumn id="25" name="Glycérine Enfant" dataDxfId="31"/>
    <tableColumn id="26" name="HYDREX" dataDxfId="30"/>
    <tableColumn id="27" name="LAXADYL 5" dataDxfId="29"/>
    <tableColumn id="28" name="LAXADYL10" dataDxfId="28"/>
    <tableColumn id="29" name="MEFESTAN 250" dataDxfId="27"/>
    <tableColumn id="30" name="MEFESTAN 500" dataDxfId="26"/>
    <tableColumn id="31" name="MEFESTAN125" dataDxfId="25"/>
    <tableColumn id="32" name="NIFLUMENE 200" dataDxfId="24"/>
    <tableColumn id="33" name="NIFLUMENE 250" dataDxfId="23"/>
    <tableColumn id="34" name="NIFLUMENE 400" dataDxfId="22"/>
    <tableColumn id="35" name="NIFLUMENE 700" dataDxfId="21"/>
    <tableColumn id="36" name="PARAMOL 500" dataDxfId="20"/>
    <tableColumn id="37" name="PARAMOL EXTRA" dataDxfId="19"/>
    <tableColumn id="38" name="PARAMOL1000" dataDxfId="18"/>
    <tableColumn id="39" name="PARAMOL1000 GF" dataDxfId="17"/>
    <tableColumn id="40" name="PIROXAL" dataDxfId="16"/>
    <tableColumn id="41" name="PRIAZIDE" dataDxfId="15"/>
    <tableColumn id="42" name="PROCTOLON" dataDxfId="14"/>
    <tableColumn id="43" name="RAMITEC 2,5" dataDxfId="13"/>
    <tableColumn id="44" name="RAMITEC 5" dataDxfId="12"/>
    <tableColumn id="45" name="RAMITEC10" dataDxfId="11"/>
    <tableColumn id="46" name="SPASMOL " dataDxfId="10"/>
    <tableColumn id="47" name="SULPIRIDE LS 50" dataDxfId="9"/>
    <tableColumn id="48" name="TEMESTA 1 " dataDxfId="8"/>
    <tableColumn id="49" name="TEMESTA 2,5" dataDxfId="7"/>
    <tableColumn id="50" name="TRAMADOL LS 100" dataDxfId="6"/>
    <tableColumn id="51" name="TRAMADOL LS 50" dataDxfId="5"/>
    <tableColumn id="52" name="TRAMADOL PLUS" dataDxfId="4"/>
    <tableColumn id="53" name="TROPHYL ENFANT" dataDxfId="3"/>
    <tableColumn id="54" name="TROPHYL NOURRISSON" dataDxfId="2"/>
    <tableColumn id="55" name="TROPHYL PLUS ENFANTS" dataDxfId="1"/>
    <tableColumn id="56" name="TROPHYL PLUS NOURRISSON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7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8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9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12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15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comments" Target="../comments7.xml"/><Relationship Id="rId1" Type="http://schemas.openxmlformats.org/officeDocument/2006/relationships/vmlDrawing" Target="../drawings/vmlDrawing7.vml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40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25.bin"/></Relationships>
</file>

<file path=xl/worksheets/_rels/sheet42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26.bin"/></Relationships>
</file>

<file path=xl/worksheets/_rels/sheet4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27.bin"/></Relationships>
</file>

<file path=xl/worksheets/_rels/sheet4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28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comments" Target="../comments12.xml"/><Relationship Id="rId1" Type="http://schemas.openxmlformats.org/officeDocument/2006/relationships/vmlDrawing" Target="../drawings/vmlDrawing12.vml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comments" Target="../comments13.xml"/><Relationship Id="rId1" Type="http://schemas.openxmlformats.org/officeDocument/2006/relationships/vmlDrawing" Target="../drawings/vmlDrawing13.vml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5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35.bin"/></Relationships>
</file>

<file path=xl/worksheets/_rels/sheet5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36.bin"/></Relationships>
</file>

<file path=xl/worksheets/_rels/sheet5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6.xml"/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37.bin"/></Relationships>
</file>

<file path=xl/worksheets/_rels/sheet5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7.xml"/><Relationship Id="rId2" Type="http://schemas.openxmlformats.org/officeDocument/2006/relationships/vmlDrawing" Target="../drawings/vmlDrawing17.vml"/><Relationship Id="rId1" Type="http://schemas.openxmlformats.org/officeDocument/2006/relationships/printerSettings" Target="../printerSettings/printerSettings38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E187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2" sqref="C2"/>
    </sheetView>
  </sheetViews>
  <sheetFormatPr baseColWidth="10" defaultRowHeight="15" x14ac:dyDescent="0.25"/>
  <cols>
    <col min="1" max="1" width="37.42578125" style="322" bestFit="1" customWidth="1"/>
    <col min="2" max="2" width="15.140625" style="318" bestFit="1" customWidth="1"/>
    <col min="3" max="3" width="13" style="318" bestFit="1" customWidth="1"/>
    <col min="4" max="4" width="13.140625" style="318" bestFit="1" customWidth="1"/>
    <col min="5" max="6" width="19" style="318" bestFit="1" customWidth="1"/>
    <col min="7" max="10" width="17.7109375" style="318" bestFit="1" customWidth="1"/>
    <col min="11" max="11" width="17.5703125" style="318" bestFit="1" customWidth="1"/>
    <col min="12" max="12" width="16.42578125" style="318" bestFit="1" customWidth="1"/>
    <col min="13" max="13" width="15.85546875" style="318" bestFit="1" customWidth="1"/>
    <col min="14" max="14" width="25.28515625" style="318" bestFit="1" customWidth="1"/>
    <col min="15" max="15" width="12.5703125" style="318" bestFit="1" customWidth="1"/>
    <col min="16" max="16" width="16.5703125" style="318" bestFit="1" customWidth="1"/>
    <col min="17" max="17" width="11" style="318" bestFit="1" customWidth="1"/>
    <col min="18" max="18" width="13.85546875" style="318" bestFit="1" customWidth="1"/>
    <col min="19" max="19" width="19.28515625" style="318" bestFit="1" customWidth="1"/>
    <col min="20" max="21" width="18" style="318" bestFit="1" customWidth="1"/>
    <col min="22" max="22" width="12.5703125" style="318" bestFit="1" customWidth="1"/>
    <col min="23" max="23" width="19.5703125" style="318" bestFit="1" customWidth="1"/>
    <col min="24" max="24" width="17.7109375" style="318" bestFit="1" customWidth="1"/>
    <col min="25" max="25" width="19.42578125" style="318" bestFit="1" customWidth="1"/>
    <col min="26" max="26" width="10.85546875" style="318" bestFit="1" customWidth="1"/>
    <col min="27" max="27" width="13.5703125" style="318" bestFit="1" customWidth="1"/>
    <col min="28" max="28" width="14.140625" style="318" bestFit="1" customWidth="1"/>
    <col min="29" max="30" width="17.7109375" style="318" bestFit="1" customWidth="1"/>
    <col min="31" max="31" width="17.140625" style="318" bestFit="1" customWidth="1"/>
    <col min="32" max="35" width="18.7109375" style="318" bestFit="1" customWidth="1"/>
    <col min="36" max="36" width="17.140625" style="318" bestFit="1" customWidth="1"/>
    <col min="37" max="37" width="20.140625" style="318" bestFit="1" customWidth="1"/>
    <col min="38" max="38" width="17.7109375" style="318" bestFit="1" customWidth="1"/>
    <col min="39" max="39" width="20.85546875" style="318" bestFit="1" customWidth="1"/>
    <col min="40" max="40" width="11.5703125" style="318" bestFit="1" customWidth="1"/>
    <col min="41" max="41" width="12" style="318" bestFit="1" customWidth="1"/>
    <col min="42" max="43" width="15.28515625" style="318" bestFit="1" customWidth="1"/>
    <col min="44" max="44" width="13.5703125" style="318" bestFit="1" customWidth="1"/>
    <col min="45" max="45" width="14.140625" style="318" bestFit="1" customWidth="1"/>
    <col min="46" max="46" width="13.28515625" style="318" bestFit="1" customWidth="1"/>
    <col min="47" max="47" width="18.7109375" style="318" bestFit="1" customWidth="1"/>
    <col min="48" max="48" width="14.5703125" style="318" bestFit="1" customWidth="1"/>
    <col min="49" max="49" width="15.7109375" style="318" bestFit="1" customWidth="1"/>
    <col min="50" max="50" width="21.28515625" style="318" bestFit="1" customWidth="1"/>
    <col min="51" max="51" width="20.140625" style="318" bestFit="1" customWidth="1"/>
    <col min="52" max="52" width="20" style="318" bestFit="1" customWidth="1"/>
    <col min="53" max="53" width="20.5703125" style="318" bestFit="1" customWidth="1"/>
    <col min="54" max="54" width="26" style="318" bestFit="1" customWidth="1"/>
    <col min="55" max="55" width="27.28515625" style="318" bestFit="1" customWidth="1"/>
    <col min="56" max="56" width="31.5703125" style="318" bestFit="1" customWidth="1"/>
    <col min="57" max="57" width="11.42578125" style="318"/>
    <col min="58" max="16384" width="11.42578125" style="162"/>
  </cols>
  <sheetData>
    <row r="1" spans="1:57" s="317" customFormat="1" ht="16.5" thickBot="1" x14ac:dyDescent="0.3">
      <c r="A1" s="325" t="s">
        <v>670</v>
      </c>
      <c r="B1" s="323" t="s">
        <v>495</v>
      </c>
      <c r="C1" s="324" t="s">
        <v>36</v>
      </c>
      <c r="D1" s="323" t="s">
        <v>52</v>
      </c>
      <c r="E1" s="324" t="s">
        <v>496</v>
      </c>
      <c r="F1" s="323" t="s">
        <v>497</v>
      </c>
      <c r="G1" s="324" t="s">
        <v>80</v>
      </c>
      <c r="H1" s="323" t="s">
        <v>83</v>
      </c>
      <c r="I1" s="324" t="s">
        <v>85</v>
      </c>
      <c r="J1" s="323" t="s">
        <v>87</v>
      </c>
      <c r="K1" s="324" t="s">
        <v>99</v>
      </c>
      <c r="L1" s="323" t="s">
        <v>89</v>
      </c>
      <c r="M1" s="324" t="s">
        <v>102</v>
      </c>
      <c r="N1" s="323" t="s">
        <v>498</v>
      </c>
      <c r="O1" s="324" t="s">
        <v>112</v>
      </c>
      <c r="P1" s="323" t="s">
        <v>252</v>
      </c>
      <c r="Q1" s="324" t="s">
        <v>127</v>
      </c>
      <c r="R1" s="323" t="s">
        <v>115</v>
      </c>
      <c r="S1" s="324" t="s">
        <v>132</v>
      </c>
      <c r="T1" s="323" t="s">
        <v>129</v>
      </c>
      <c r="U1" s="324" t="s">
        <v>131</v>
      </c>
      <c r="V1" s="323" t="s">
        <v>133</v>
      </c>
      <c r="W1" s="324" t="s">
        <v>499</v>
      </c>
      <c r="X1" s="323" t="s">
        <v>500</v>
      </c>
      <c r="Y1" s="324" t="s">
        <v>501</v>
      </c>
      <c r="Z1" s="323" t="s">
        <v>138</v>
      </c>
      <c r="AA1" s="324" t="s">
        <v>141</v>
      </c>
      <c r="AB1" s="323" t="s">
        <v>502</v>
      </c>
      <c r="AC1" s="324" t="s">
        <v>463</v>
      </c>
      <c r="AD1" s="323" t="s">
        <v>153</v>
      </c>
      <c r="AE1" s="324" t="s">
        <v>503</v>
      </c>
      <c r="AF1" s="323" t="s">
        <v>162</v>
      </c>
      <c r="AG1" s="324" t="s">
        <v>167</v>
      </c>
      <c r="AH1" s="323" t="s">
        <v>175</v>
      </c>
      <c r="AI1" s="324" t="s">
        <v>177</v>
      </c>
      <c r="AJ1" s="323" t="s">
        <v>179</v>
      </c>
      <c r="AK1" s="324" t="s">
        <v>504</v>
      </c>
      <c r="AL1" s="323" t="s">
        <v>505</v>
      </c>
      <c r="AM1" s="324" t="s">
        <v>506</v>
      </c>
      <c r="AN1" s="323" t="s">
        <v>186</v>
      </c>
      <c r="AO1" s="324" t="s">
        <v>507</v>
      </c>
      <c r="AP1" s="323" t="s">
        <v>191</v>
      </c>
      <c r="AQ1" s="324" t="s">
        <v>508</v>
      </c>
      <c r="AR1" s="323" t="s">
        <v>199</v>
      </c>
      <c r="AS1" s="324" t="s">
        <v>509</v>
      </c>
      <c r="AT1" s="323" t="s">
        <v>510</v>
      </c>
      <c r="AU1" s="324" t="s">
        <v>206</v>
      </c>
      <c r="AV1" s="323" t="s">
        <v>511</v>
      </c>
      <c r="AW1" s="324" t="s">
        <v>512</v>
      </c>
      <c r="AX1" s="323" t="s">
        <v>215</v>
      </c>
      <c r="AY1" s="324" t="s">
        <v>212</v>
      </c>
      <c r="AZ1" s="323" t="s">
        <v>459</v>
      </c>
      <c r="BA1" s="324" t="s">
        <v>513</v>
      </c>
      <c r="BB1" s="323" t="s">
        <v>514</v>
      </c>
      <c r="BC1" s="324" t="s">
        <v>223</v>
      </c>
      <c r="BD1" s="323" t="s">
        <v>515</v>
      </c>
      <c r="BE1" s="326"/>
    </row>
    <row r="2" spans="1:57" s="318" customFormat="1" ht="15.75" x14ac:dyDescent="0.25">
      <c r="A2" s="395" t="s">
        <v>516</v>
      </c>
      <c r="B2" s="327">
        <v>1.9E-2</v>
      </c>
      <c r="C2" s="13">
        <v>2.0832000000000001E-4</v>
      </c>
      <c r="D2" s="328">
        <v>3.3300000000000001E-3</v>
      </c>
    </row>
    <row r="3" spans="1:57" s="318" customFormat="1" x14ac:dyDescent="0.25">
      <c r="A3" s="320" t="s">
        <v>517</v>
      </c>
      <c r="B3" s="318" t="str">
        <f>IFERROR(VLOOKUP($A3,#REF!,2,FALSE),"")</f>
        <v/>
      </c>
    </row>
    <row r="4" spans="1:57" s="318" customFormat="1" x14ac:dyDescent="0.25">
      <c r="A4" s="320" t="s">
        <v>518</v>
      </c>
      <c r="B4" s="318" t="str">
        <f>IFERROR(VLOOKUP($A4,#REF!,2,FALSE),"")</f>
        <v/>
      </c>
    </row>
    <row r="5" spans="1:57" s="318" customFormat="1" x14ac:dyDescent="0.25">
      <c r="A5" s="320" t="s">
        <v>519</v>
      </c>
      <c r="B5" s="318" t="str">
        <f>IFERROR(VLOOKUP($A5,#REF!,2,FALSE),"")</f>
        <v/>
      </c>
    </row>
    <row r="6" spans="1:57" s="318" customFormat="1" x14ac:dyDescent="0.25">
      <c r="A6" s="320" t="s">
        <v>520</v>
      </c>
      <c r="B6" s="318" t="str">
        <f>IFERROR(VLOOKUP($A6,#REF!,2,FALSE),"")</f>
        <v/>
      </c>
    </row>
    <row r="7" spans="1:57" s="318" customFormat="1" x14ac:dyDescent="0.25">
      <c r="A7" s="320" t="s">
        <v>172</v>
      </c>
      <c r="B7" s="318" t="str">
        <f>IFERROR(VLOOKUP($A7,#REF!,2,FALSE),"")</f>
        <v/>
      </c>
    </row>
    <row r="8" spans="1:57" s="318" customFormat="1" x14ac:dyDescent="0.25">
      <c r="A8" s="320" t="s">
        <v>521</v>
      </c>
      <c r="B8" s="318" t="str">
        <f>IFERROR(VLOOKUP($A8,#REF!,2,FALSE),"")</f>
        <v/>
      </c>
    </row>
    <row r="9" spans="1:57" s="318" customFormat="1" x14ac:dyDescent="0.25">
      <c r="A9" s="320" t="s">
        <v>522</v>
      </c>
      <c r="B9" s="318" t="str">
        <f>IFERROR(VLOOKUP($A9,#REF!,2,FALSE),"")</f>
        <v/>
      </c>
    </row>
    <row r="10" spans="1:57" s="318" customFormat="1" x14ac:dyDescent="0.25">
      <c r="A10" s="320" t="s">
        <v>523</v>
      </c>
      <c r="B10" s="318" t="str">
        <f>IFERROR(VLOOKUP($A10,#REF!,2,FALSE),"")</f>
        <v/>
      </c>
    </row>
    <row r="11" spans="1:57" s="318" customFormat="1" x14ac:dyDescent="0.25">
      <c r="A11" s="320" t="s">
        <v>43</v>
      </c>
      <c r="B11" s="318" t="str">
        <f>IFERROR(VLOOKUP($A11,#REF!,2,FALSE),"")</f>
        <v/>
      </c>
    </row>
    <row r="12" spans="1:57" s="318" customFormat="1" x14ac:dyDescent="0.25">
      <c r="A12" s="320" t="s">
        <v>524</v>
      </c>
      <c r="B12" s="318" t="str">
        <f>IFERROR(VLOOKUP($A12,#REF!,2,FALSE),"")</f>
        <v/>
      </c>
    </row>
    <row r="13" spans="1:57" s="318" customFormat="1" x14ac:dyDescent="0.25">
      <c r="A13" s="320" t="s">
        <v>42</v>
      </c>
      <c r="B13" s="318" t="str">
        <f>IFERROR(VLOOKUP($A13,#REF!,2,FALSE),"")</f>
        <v/>
      </c>
    </row>
    <row r="14" spans="1:57" s="318" customFormat="1" x14ac:dyDescent="0.25">
      <c r="A14" s="321" t="s">
        <v>647</v>
      </c>
      <c r="B14" s="318" t="str">
        <f>IFERROR(VLOOKUP($A14,#REF!,2,FALSE),"")</f>
        <v/>
      </c>
    </row>
    <row r="15" spans="1:57" s="318" customFormat="1" x14ac:dyDescent="0.25">
      <c r="A15" s="321" t="s">
        <v>661</v>
      </c>
      <c r="B15" s="318" t="str">
        <f>IFERROR(VLOOKUP($A15,#REF!,2,FALSE),"")</f>
        <v/>
      </c>
    </row>
    <row r="16" spans="1:57" s="318" customFormat="1" x14ac:dyDescent="0.25">
      <c r="A16" s="321" t="s">
        <v>648</v>
      </c>
      <c r="B16" s="318" t="str">
        <f>IFERROR(VLOOKUP($A16,#REF!,2,FALSE),"")</f>
        <v/>
      </c>
    </row>
    <row r="17" spans="1:2" s="318" customFormat="1" x14ac:dyDescent="0.25">
      <c r="A17" s="321" t="s">
        <v>652</v>
      </c>
      <c r="B17" s="318" t="str">
        <f>IFERROR(VLOOKUP($A17,#REF!,2,FALSE),"")</f>
        <v/>
      </c>
    </row>
    <row r="18" spans="1:2" s="318" customFormat="1" x14ac:dyDescent="0.25">
      <c r="A18" s="320" t="s">
        <v>144</v>
      </c>
      <c r="B18" s="318" t="str">
        <f>IFERROR(VLOOKUP($A18,#REF!,2,FALSE),"")</f>
        <v/>
      </c>
    </row>
    <row r="19" spans="1:2" s="318" customFormat="1" x14ac:dyDescent="0.25">
      <c r="A19" s="321" t="s">
        <v>653</v>
      </c>
      <c r="B19" s="318" t="str">
        <f>IFERROR(VLOOKUP($A19,#REF!,2,FALSE),"")</f>
        <v/>
      </c>
    </row>
    <row r="20" spans="1:2" s="318" customFormat="1" x14ac:dyDescent="0.25">
      <c r="A20" s="320" t="s">
        <v>525</v>
      </c>
      <c r="B20" s="318" t="str">
        <f>IFERROR(VLOOKUP($A20,#REF!,2,FALSE),"")</f>
        <v/>
      </c>
    </row>
    <row r="21" spans="1:2" s="318" customFormat="1" x14ac:dyDescent="0.25">
      <c r="A21" s="320" t="s">
        <v>526</v>
      </c>
      <c r="B21" s="318" t="str">
        <f>IFERROR(VLOOKUP($A21,#REF!,2,FALSE),"")</f>
        <v/>
      </c>
    </row>
    <row r="22" spans="1:2" s="318" customFormat="1" x14ac:dyDescent="0.25">
      <c r="A22" s="320" t="s">
        <v>527</v>
      </c>
      <c r="B22" s="318" t="str">
        <f>IFERROR(VLOOKUP($A22,#REF!,2,FALSE),"")</f>
        <v/>
      </c>
    </row>
    <row r="23" spans="1:2" s="318" customFormat="1" x14ac:dyDescent="0.25">
      <c r="A23" s="320" t="s">
        <v>528</v>
      </c>
      <c r="B23" s="318" t="str">
        <f>IFERROR(VLOOKUP($A23,#REF!,2,FALSE),"")</f>
        <v/>
      </c>
    </row>
    <row r="24" spans="1:2" s="318" customFormat="1" x14ac:dyDescent="0.25">
      <c r="A24" s="320" t="s">
        <v>529</v>
      </c>
      <c r="B24" s="318" t="str">
        <f>IFERROR(VLOOKUP($A24,#REF!,2,FALSE),"")</f>
        <v/>
      </c>
    </row>
    <row r="25" spans="1:2" s="318" customFormat="1" x14ac:dyDescent="0.25">
      <c r="A25" s="320" t="s">
        <v>530</v>
      </c>
      <c r="B25" s="318" t="str">
        <f>IFERROR(VLOOKUP($A25,#REF!,2,FALSE),"")</f>
        <v/>
      </c>
    </row>
    <row r="26" spans="1:2" s="318" customFormat="1" x14ac:dyDescent="0.25">
      <c r="A26" s="320" t="s">
        <v>531</v>
      </c>
      <c r="B26" s="318" t="str">
        <f>IFERROR(VLOOKUP($A26,#REF!,2,FALSE),"")</f>
        <v/>
      </c>
    </row>
    <row r="27" spans="1:2" s="318" customFormat="1" x14ac:dyDescent="0.25">
      <c r="A27" s="320" t="s">
        <v>532</v>
      </c>
      <c r="B27" s="318" t="str">
        <f>IFERROR(VLOOKUP($A27,#REF!,2,FALSE),"")</f>
        <v/>
      </c>
    </row>
    <row r="28" spans="1:2" s="318" customFormat="1" x14ac:dyDescent="0.25">
      <c r="A28" s="320" t="s">
        <v>533</v>
      </c>
      <c r="B28" s="318" t="str">
        <f>IFERROR(VLOOKUP($A28,#REF!,2,FALSE),"")</f>
        <v/>
      </c>
    </row>
    <row r="29" spans="1:2" s="318" customFormat="1" x14ac:dyDescent="0.25">
      <c r="A29" s="320" t="s">
        <v>534</v>
      </c>
      <c r="B29" s="318" t="str">
        <f>IFERROR(VLOOKUP($A29,#REF!,2,FALSE),"")</f>
        <v/>
      </c>
    </row>
    <row r="30" spans="1:2" s="318" customFormat="1" x14ac:dyDescent="0.25">
      <c r="A30" s="320" t="s">
        <v>535</v>
      </c>
      <c r="B30" s="318" t="str">
        <f>IFERROR(VLOOKUP($A30,#REF!,2,FALSE),"")</f>
        <v/>
      </c>
    </row>
    <row r="31" spans="1:2" s="318" customFormat="1" x14ac:dyDescent="0.25">
      <c r="A31" s="320" t="s">
        <v>536</v>
      </c>
      <c r="B31" s="318" t="str">
        <f>IFERROR(VLOOKUP($A31,#REF!,2,FALSE),"")</f>
        <v/>
      </c>
    </row>
    <row r="32" spans="1:2" s="318" customFormat="1" x14ac:dyDescent="0.25">
      <c r="A32" s="320" t="s">
        <v>537</v>
      </c>
      <c r="B32" s="318" t="str">
        <f>IFERROR(VLOOKUP($A32,#REF!,2,FALSE),"")</f>
        <v/>
      </c>
    </row>
    <row r="33" spans="1:2" s="318" customFormat="1" x14ac:dyDescent="0.25">
      <c r="A33" s="320" t="s">
        <v>538</v>
      </c>
      <c r="B33" s="318" t="str">
        <f>IFERROR(VLOOKUP($A33,#REF!,2,FALSE),"")</f>
        <v/>
      </c>
    </row>
    <row r="34" spans="1:2" s="318" customFormat="1" x14ac:dyDescent="0.25">
      <c r="A34" s="320" t="s">
        <v>539</v>
      </c>
      <c r="B34" s="318" t="str">
        <f>IFERROR(VLOOKUP($A34,#REF!,2,FALSE),"")</f>
        <v/>
      </c>
    </row>
    <row r="35" spans="1:2" s="318" customFormat="1" x14ac:dyDescent="0.25">
      <c r="A35" s="320" t="s">
        <v>540</v>
      </c>
      <c r="B35" s="318" t="str">
        <f>IFERROR(VLOOKUP($A35,#REF!,2,FALSE),"")</f>
        <v/>
      </c>
    </row>
    <row r="36" spans="1:2" s="318" customFormat="1" x14ac:dyDescent="0.25">
      <c r="A36" s="320" t="s">
        <v>541</v>
      </c>
      <c r="B36" s="318" t="str">
        <f>IFERROR(VLOOKUP($A36,#REF!,2,FALSE),"")</f>
        <v/>
      </c>
    </row>
    <row r="37" spans="1:2" s="318" customFormat="1" x14ac:dyDescent="0.25">
      <c r="A37" s="320" t="s">
        <v>542</v>
      </c>
      <c r="B37" s="318" t="str">
        <f>IFERROR(VLOOKUP($A37,#REF!,2,FALSE),"")</f>
        <v/>
      </c>
    </row>
    <row r="38" spans="1:2" s="318" customFormat="1" x14ac:dyDescent="0.25">
      <c r="A38" s="320" t="s">
        <v>543</v>
      </c>
      <c r="B38" s="318" t="str">
        <f>IFERROR(VLOOKUP($A38,#REF!,2,FALSE),"")</f>
        <v/>
      </c>
    </row>
    <row r="39" spans="1:2" s="318" customFormat="1" x14ac:dyDescent="0.25">
      <c r="A39" s="320" t="s">
        <v>544</v>
      </c>
      <c r="B39" s="318" t="str">
        <f>IFERROR(VLOOKUP($A39,#REF!,2,FALSE),"")</f>
        <v/>
      </c>
    </row>
    <row r="40" spans="1:2" s="318" customFormat="1" x14ac:dyDescent="0.25">
      <c r="A40" s="320" t="s">
        <v>545</v>
      </c>
      <c r="B40" s="318" t="str">
        <f>IFERROR(VLOOKUP($A40,#REF!,2,FALSE),"")</f>
        <v/>
      </c>
    </row>
    <row r="41" spans="1:2" s="318" customFormat="1" x14ac:dyDescent="0.25">
      <c r="A41" s="320" t="s">
        <v>546</v>
      </c>
      <c r="B41" s="318" t="str">
        <f>IFERROR(VLOOKUP($A41,#REF!,2,FALSE),"")</f>
        <v/>
      </c>
    </row>
    <row r="42" spans="1:2" s="318" customFormat="1" x14ac:dyDescent="0.25">
      <c r="A42" s="320" t="s">
        <v>547</v>
      </c>
      <c r="B42" s="318" t="str">
        <f>IFERROR(VLOOKUP($A42,#REF!,2,FALSE),"")</f>
        <v/>
      </c>
    </row>
    <row r="43" spans="1:2" s="318" customFormat="1" x14ac:dyDescent="0.25">
      <c r="A43" s="320" t="s">
        <v>548</v>
      </c>
      <c r="B43" s="318" t="str">
        <f>IFERROR(VLOOKUP($A43,#REF!,2,FALSE),"")</f>
        <v/>
      </c>
    </row>
    <row r="44" spans="1:2" s="318" customFormat="1" x14ac:dyDescent="0.25">
      <c r="A44" s="320" t="s">
        <v>549</v>
      </c>
      <c r="B44" s="318" t="str">
        <f>IFERROR(VLOOKUP($A44,#REF!,2,FALSE),"")</f>
        <v/>
      </c>
    </row>
    <row r="45" spans="1:2" s="318" customFormat="1" x14ac:dyDescent="0.25">
      <c r="A45" s="320" t="s">
        <v>550</v>
      </c>
      <c r="B45" s="318" t="str">
        <f>IFERROR(VLOOKUP($A45,#REF!,2,FALSE),"")</f>
        <v/>
      </c>
    </row>
    <row r="46" spans="1:2" s="318" customFormat="1" x14ac:dyDescent="0.25">
      <c r="A46" s="320" t="s">
        <v>551</v>
      </c>
      <c r="B46" s="318" t="str">
        <f>IFERROR(VLOOKUP($A46,#REF!,2,FALSE),"")</f>
        <v/>
      </c>
    </row>
    <row r="47" spans="1:2" s="318" customFormat="1" x14ac:dyDescent="0.25">
      <c r="A47" s="320" t="s">
        <v>552</v>
      </c>
      <c r="B47" s="318" t="str">
        <f>IFERROR(VLOOKUP($A47,#REF!,2,FALSE),"")</f>
        <v/>
      </c>
    </row>
    <row r="48" spans="1:2" s="318" customFormat="1" x14ac:dyDescent="0.25">
      <c r="A48" s="320" t="s">
        <v>553</v>
      </c>
      <c r="B48" s="318" t="str">
        <f>IFERROR(VLOOKUP($A48,#REF!,2,FALSE),"")</f>
        <v/>
      </c>
    </row>
    <row r="49" spans="1:5" s="318" customFormat="1" x14ac:dyDescent="0.25">
      <c r="A49" s="320" t="s">
        <v>554</v>
      </c>
      <c r="B49" s="318" t="str">
        <f>IFERROR(VLOOKUP($A49,#REF!,2,FALSE),"")</f>
        <v/>
      </c>
    </row>
    <row r="50" spans="1:5" s="318" customFormat="1" x14ac:dyDescent="0.25">
      <c r="A50" s="320" t="s">
        <v>555</v>
      </c>
      <c r="B50" s="318" t="str">
        <f>IFERROR(VLOOKUP($A50,#REF!,2,FALSE),"")</f>
        <v/>
      </c>
    </row>
    <row r="51" spans="1:5" s="318" customFormat="1" x14ac:dyDescent="0.25">
      <c r="A51" s="320" t="s">
        <v>556</v>
      </c>
      <c r="B51" s="318" t="str">
        <f>IFERROR(VLOOKUP($A51,#REF!,2,FALSE),"")</f>
        <v/>
      </c>
    </row>
    <row r="52" spans="1:5" s="318" customFormat="1" x14ac:dyDescent="0.25">
      <c r="A52" s="320" t="s">
        <v>557</v>
      </c>
      <c r="B52" s="318" t="str">
        <f>IFERROR(VLOOKUP($A52,#REF!,2,FALSE),"")</f>
        <v/>
      </c>
    </row>
    <row r="53" spans="1:5" s="318" customFormat="1" x14ac:dyDescent="0.25">
      <c r="A53" s="320" t="s">
        <v>558</v>
      </c>
      <c r="B53" s="318" t="str">
        <f>IFERROR(VLOOKUP($A53,#REF!,2,FALSE),"")</f>
        <v/>
      </c>
    </row>
    <row r="54" spans="1:5" s="318" customFormat="1" x14ac:dyDescent="0.25">
      <c r="A54" s="320" t="s">
        <v>559</v>
      </c>
      <c r="B54" s="318" t="str">
        <f>IFERROR(VLOOKUP($A54,#REF!,2,FALSE),"")</f>
        <v/>
      </c>
    </row>
    <row r="55" spans="1:5" s="318" customFormat="1" x14ac:dyDescent="0.25">
      <c r="A55" s="320" t="s">
        <v>560</v>
      </c>
      <c r="B55" s="318" t="str">
        <f>IFERROR(VLOOKUP($A55,#REF!,2,FALSE),"")</f>
        <v/>
      </c>
    </row>
    <row r="56" spans="1:5" s="318" customFormat="1" x14ac:dyDescent="0.25">
      <c r="A56" s="320" t="s">
        <v>561</v>
      </c>
      <c r="B56" s="318" t="str">
        <f>IFERROR(VLOOKUP($A56,#REF!,2,FALSE),"")</f>
        <v/>
      </c>
    </row>
    <row r="57" spans="1:5" s="318" customFormat="1" ht="15.75" x14ac:dyDescent="0.25">
      <c r="A57" s="320" t="s">
        <v>562</v>
      </c>
      <c r="B57" s="318" t="str">
        <f>IFERROR(VLOOKUP($A57,#REF!,2,FALSE),"")</f>
        <v/>
      </c>
      <c r="E57" s="13">
        <v>1.5E-3</v>
      </c>
    </row>
    <row r="58" spans="1:5" s="318" customFormat="1" x14ac:dyDescent="0.25">
      <c r="A58" s="321" t="s">
        <v>665</v>
      </c>
      <c r="B58" s="318" t="str">
        <f>IFERROR(VLOOKUP($A58,#REF!,2,FALSE),"")</f>
        <v/>
      </c>
    </row>
    <row r="59" spans="1:5" s="318" customFormat="1" x14ac:dyDescent="0.25">
      <c r="A59" s="321" t="s">
        <v>664</v>
      </c>
      <c r="B59" s="318" t="str">
        <f>IFERROR(VLOOKUP($A59,#REF!,2,FALSE),"")</f>
        <v/>
      </c>
    </row>
    <row r="60" spans="1:5" s="318" customFormat="1" x14ac:dyDescent="0.25">
      <c r="A60" s="320" t="s">
        <v>563</v>
      </c>
      <c r="B60" s="318" t="str">
        <f>IFERROR(VLOOKUP($A60,#REF!,2,FALSE),"")</f>
        <v/>
      </c>
    </row>
    <row r="61" spans="1:5" s="318" customFormat="1" x14ac:dyDescent="0.25">
      <c r="A61" s="321" t="s">
        <v>645</v>
      </c>
      <c r="B61" s="318" t="str">
        <f>IFERROR(VLOOKUP($A61,#REF!,2,FALSE),"")</f>
        <v/>
      </c>
    </row>
    <row r="62" spans="1:5" s="318" customFormat="1" x14ac:dyDescent="0.25">
      <c r="A62" s="320" t="s">
        <v>451</v>
      </c>
      <c r="B62" s="318" t="str">
        <f>IFERROR(VLOOKUP($A62,#REF!,2,FALSE),"")</f>
        <v/>
      </c>
    </row>
    <row r="63" spans="1:5" s="318" customFormat="1" x14ac:dyDescent="0.25">
      <c r="A63" s="320" t="s">
        <v>564</v>
      </c>
      <c r="B63" s="318" t="str">
        <f>IFERROR(VLOOKUP($A63,#REF!,2,FALSE),"")</f>
        <v/>
      </c>
    </row>
    <row r="64" spans="1:5" s="318" customFormat="1" x14ac:dyDescent="0.25">
      <c r="A64" s="320" t="s">
        <v>565</v>
      </c>
      <c r="B64" s="318" t="str">
        <f>IFERROR(VLOOKUP($A64,#REF!,2,FALSE),"")</f>
        <v/>
      </c>
    </row>
    <row r="65" spans="1:2" s="318" customFormat="1" x14ac:dyDescent="0.25">
      <c r="A65" s="320" t="s">
        <v>93</v>
      </c>
      <c r="B65" s="318" t="str">
        <f>IFERROR(VLOOKUP($A65,#REF!,2,FALSE),"")</f>
        <v/>
      </c>
    </row>
    <row r="66" spans="1:2" s="318" customFormat="1" x14ac:dyDescent="0.25">
      <c r="A66" s="320" t="s">
        <v>566</v>
      </c>
      <c r="B66" s="318" t="str">
        <f>IFERROR(VLOOKUP($A66,#REF!,2,FALSE),"")</f>
        <v/>
      </c>
    </row>
    <row r="67" spans="1:2" s="318" customFormat="1" x14ac:dyDescent="0.25">
      <c r="A67" s="321" t="s">
        <v>659</v>
      </c>
      <c r="B67" s="318" t="str">
        <f>IFERROR(VLOOKUP($A67,#REF!,2,FALSE),"")</f>
        <v/>
      </c>
    </row>
    <row r="68" spans="1:2" s="318" customFormat="1" x14ac:dyDescent="0.25">
      <c r="A68" s="320" t="s">
        <v>567</v>
      </c>
      <c r="B68" s="318" t="str">
        <f>IFERROR(VLOOKUP($A68,#REF!,2,FALSE),"")</f>
        <v/>
      </c>
    </row>
    <row r="69" spans="1:2" s="318" customFormat="1" x14ac:dyDescent="0.25">
      <c r="A69" s="320" t="s">
        <v>130</v>
      </c>
      <c r="B69" s="318" t="str">
        <f>IFERROR(VLOOKUP($A69,#REF!,2,FALSE),"")</f>
        <v/>
      </c>
    </row>
    <row r="70" spans="1:2" s="318" customFormat="1" x14ac:dyDescent="0.25">
      <c r="A70" s="321" t="s">
        <v>669</v>
      </c>
      <c r="B70" s="318" t="str">
        <f>IFERROR(VLOOKUP($A70,#REF!,2,FALSE),"")</f>
        <v/>
      </c>
    </row>
    <row r="71" spans="1:2" s="318" customFormat="1" x14ac:dyDescent="0.25">
      <c r="A71" s="320" t="s">
        <v>568</v>
      </c>
      <c r="B71" s="318" t="str">
        <f>IFERROR(VLOOKUP($A71,#REF!,2,FALSE),"")</f>
        <v/>
      </c>
    </row>
    <row r="72" spans="1:2" s="318" customFormat="1" x14ac:dyDescent="0.25">
      <c r="A72" s="320" t="s">
        <v>569</v>
      </c>
      <c r="B72" s="318" t="str">
        <f>IFERROR(VLOOKUP($A72,#REF!,2,FALSE),"")</f>
        <v/>
      </c>
    </row>
    <row r="73" spans="1:2" s="318" customFormat="1" x14ac:dyDescent="0.25">
      <c r="A73" s="320" t="s">
        <v>122</v>
      </c>
      <c r="B73" s="318" t="str">
        <f>IFERROR(VLOOKUP($A73,#REF!,2,FALSE),"")</f>
        <v/>
      </c>
    </row>
    <row r="74" spans="1:2" s="318" customFormat="1" x14ac:dyDescent="0.25">
      <c r="A74" s="320" t="s">
        <v>570</v>
      </c>
      <c r="B74" s="318" t="str">
        <f>IFERROR(VLOOKUP($A74,#REF!,2,FALSE),"")</f>
        <v/>
      </c>
    </row>
    <row r="75" spans="1:2" s="318" customFormat="1" x14ac:dyDescent="0.25">
      <c r="A75" s="321" t="s">
        <v>640</v>
      </c>
      <c r="B75" s="318" t="str">
        <f>IFERROR(VLOOKUP($A75,#REF!,2,FALSE),"")</f>
        <v/>
      </c>
    </row>
    <row r="76" spans="1:2" s="318" customFormat="1" x14ac:dyDescent="0.25">
      <c r="A76" s="321" t="s">
        <v>641</v>
      </c>
      <c r="B76" s="318" t="str">
        <f>IFERROR(VLOOKUP($A76,#REF!,2,FALSE),"")</f>
        <v/>
      </c>
    </row>
    <row r="77" spans="1:2" s="318" customFormat="1" x14ac:dyDescent="0.25">
      <c r="A77" s="321" t="s">
        <v>643</v>
      </c>
      <c r="B77" s="318" t="str">
        <f>IFERROR(VLOOKUP($A77,#REF!,2,FALSE),"")</f>
        <v/>
      </c>
    </row>
    <row r="78" spans="1:2" s="318" customFormat="1" x14ac:dyDescent="0.25">
      <c r="A78" s="320" t="s">
        <v>639</v>
      </c>
      <c r="B78" s="318" t="str">
        <f>IFERROR(VLOOKUP($A78,#REF!,2,FALSE),"")</f>
        <v/>
      </c>
    </row>
    <row r="79" spans="1:2" s="318" customFormat="1" x14ac:dyDescent="0.25">
      <c r="A79" s="321" t="s">
        <v>642</v>
      </c>
      <c r="B79" s="318" t="str">
        <f>IFERROR(VLOOKUP($A79,#REF!,2,FALSE),"")</f>
        <v/>
      </c>
    </row>
    <row r="80" spans="1:2" s="318" customFormat="1" x14ac:dyDescent="0.25">
      <c r="A80" s="320" t="s">
        <v>571</v>
      </c>
      <c r="B80" s="318" t="str">
        <f>IFERROR(VLOOKUP($A80,#REF!,2,FALSE),"")</f>
        <v/>
      </c>
    </row>
    <row r="81" spans="1:2" s="318" customFormat="1" x14ac:dyDescent="0.25">
      <c r="A81" s="321" t="s">
        <v>654</v>
      </c>
      <c r="B81" s="318" t="str">
        <f>IFERROR(VLOOKUP($A81,#REF!,2,FALSE),"")</f>
        <v/>
      </c>
    </row>
    <row r="82" spans="1:2" s="318" customFormat="1" x14ac:dyDescent="0.25">
      <c r="A82" s="320" t="s">
        <v>45</v>
      </c>
      <c r="B82" s="318" t="str">
        <f>IFERROR(VLOOKUP($A82,#REF!,2,FALSE),"")</f>
        <v/>
      </c>
    </row>
    <row r="83" spans="1:2" s="318" customFormat="1" x14ac:dyDescent="0.25">
      <c r="A83" s="320" t="s">
        <v>572</v>
      </c>
      <c r="B83" s="318" t="str">
        <f>IFERROR(VLOOKUP($A83,#REF!,2,FALSE),"")</f>
        <v/>
      </c>
    </row>
    <row r="84" spans="1:2" s="318" customFormat="1" x14ac:dyDescent="0.25">
      <c r="A84" s="320" t="s">
        <v>573</v>
      </c>
      <c r="B84" s="318" t="str">
        <f>IFERROR(VLOOKUP($A84,#REF!,2,FALSE),"")</f>
        <v/>
      </c>
    </row>
    <row r="85" spans="1:2" s="318" customFormat="1" x14ac:dyDescent="0.25">
      <c r="A85" s="320" t="s">
        <v>574</v>
      </c>
      <c r="B85" s="318" t="str">
        <f>IFERROR(VLOOKUP($A85,#REF!,2,FALSE),"")</f>
        <v/>
      </c>
    </row>
    <row r="86" spans="1:2" s="318" customFormat="1" x14ac:dyDescent="0.25">
      <c r="A86" s="320" t="s">
        <v>575</v>
      </c>
      <c r="B86" s="318" t="str">
        <f>IFERROR(VLOOKUP($A86,#REF!,2,FALSE),"")</f>
        <v/>
      </c>
    </row>
    <row r="87" spans="1:2" s="318" customFormat="1" x14ac:dyDescent="0.25">
      <c r="A87" s="320" t="s">
        <v>576</v>
      </c>
      <c r="B87" s="318" t="str">
        <f>IFERROR(VLOOKUP($A87,#REF!,2,FALSE),"")</f>
        <v/>
      </c>
    </row>
    <row r="88" spans="1:2" s="318" customFormat="1" x14ac:dyDescent="0.25">
      <c r="A88" s="320" t="s">
        <v>577</v>
      </c>
      <c r="B88" s="318" t="str">
        <f>IFERROR(VLOOKUP($A88,#REF!,2,FALSE),"")</f>
        <v/>
      </c>
    </row>
    <row r="89" spans="1:2" s="318" customFormat="1" x14ac:dyDescent="0.25">
      <c r="A89" s="320" t="s">
        <v>578</v>
      </c>
      <c r="B89" s="318" t="str">
        <f>IFERROR(VLOOKUP($A89,#REF!,2,FALSE),"")</f>
        <v/>
      </c>
    </row>
    <row r="90" spans="1:2" s="318" customFormat="1" x14ac:dyDescent="0.25">
      <c r="A90" s="320" t="s">
        <v>579</v>
      </c>
      <c r="B90" s="318" t="str">
        <f>IFERROR(VLOOKUP($A90,#REF!,2,FALSE),"")</f>
        <v/>
      </c>
    </row>
    <row r="91" spans="1:2" s="318" customFormat="1" x14ac:dyDescent="0.25">
      <c r="A91" s="320" t="s">
        <v>580</v>
      </c>
      <c r="B91" s="318" t="str">
        <f>IFERROR(VLOOKUP($A91,#REF!,2,FALSE),"")</f>
        <v/>
      </c>
    </row>
    <row r="92" spans="1:2" s="318" customFormat="1" x14ac:dyDescent="0.25">
      <c r="A92" s="321" t="s">
        <v>666</v>
      </c>
      <c r="B92" s="318" t="str">
        <f>IFERROR(VLOOKUP($A92,#REF!,2,FALSE),"")</f>
        <v/>
      </c>
    </row>
    <row r="93" spans="1:2" s="318" customFormat="1" x14ac:dyDescent="0.25">
      <c r="A93" s="320" t="s">
        <v>140</v>
      </c>
      <c r="B93" s="318" t="str">
        <f>IFERROR(VLOOKUP($A93,#REF!,2,FALSE),"")</f>
        <v/>
      </c>
    </row>
    <row r="94" spans="1:2" s="318" customFormat="1" x14ac:dyDescent="0.25">
      <c r="A94" s="320" t="s">
        <v>581</v>
      </c>
      <c r="B94" s="318" t="str">
        <f>IFERROR(VLOOKUP($A94,#REF!,2,FALSE),"")</f>
        <v/>
      </c>
    </row>
    <row r="95" spans="1:2" s="318" customFormat="1" x14ac:dyDescent="0.25">
      <c r="A95" s="320" t="s">
        <v>33</v>
      </c>
      <c r="B95" s="318" t="str">
        <f>IFERROR(VLOOKUP($A95,#REF!,2,FALSE),"")</f>
        <v/>
      </c>
    </row>
    <row r="96" spans="1:2" s="318" customFormat="1" x14ac:dyDescent="0.25">
      <c r="A96" s="320" t="s">
        <v>246</v>
      </c>
      <c r="B96" s="318" t="str">
        <f>IFERROR(VLOOKUP($A96,#REF!,2,FALSE),"")</f>
        <v/>
      </c>
    </row>
    <row r="97" spans="1:2" s="318" customFormat="1" x14ac:dyDescent="0.25">
      <c r="A97" s="320" t="s">
        <v>582</v>
      </c>
      <c r="B97" s="318" t="str">
        <f>IFERROR(VLOOKUP($A97,#REF!,2,FALSE),"")</f>
        <v/>
      </c>
    </row>
    <row r="98" spans="1:2" s="318" customFormat="1" x14ac:dyDescent="0.25">
      <c r="A98" s="320" t="s">
        <v>583</v>
      </c>
      <c r="B98" s="318" t="str">
        <f>IFERROR(VLOOKUP($A98,#REF!,2,FALSE),"")</f>
        <v/>
      </c>
    </row>
    <row r="99" spans="1:2" s="318" customFormat="1" x14ac:dyDescent="0.25">
      <c r="A99" s="320" t="s">
        <v>456</v>
      </c>
      <c r="B99" s="318" t="str">
        <f>IFERROR(VLOOKUP($A99,#REF!,2,FALSE),"")</f>
        <v/>
      </c>
    </row>
    <row r="100" spans="1:2" s="318" customFormat="1" x14ac:dyDescent="0.25">
      <c r="A100" s="320" t="s">
        <v>72</v>
      </c>
      <c r="B100" s="318" t="str">
        <f>IFERROR(VLOOKUP($A100,#REF!,2,FALSE),"")</f>
        <v/>
      </c>
    </row>
    <row r="101" spans="1:2" s="318" customFormat="1" x14ac:dyDescent="0.25">
      <c r="A101" s="321" t="s">
        <v>646</v>
      </c>
      <c r="B101" s="318" t="str">
        <f>IFERROR(VLOOKUP($A101,#REF!,2,FALSE),"")</f>
        <v/>
      </c>
    </row>
    <row r="102" spans="1:2" s="318" customFormat="1" x14ac:dyDescent="0.25">
      <c r="A102" s="320" t="s">
        <v>584</v>
      </c>
      <c r="B102" s="318" t="str">
        <f>IFERROR(VLOOKUP($A102,#REF!,2,FALSE),"")</f>
        <v/>
      </c>
    </row>
    <row r="103" spans="1:2" s="318" customFormat="1" x14ac:dyDescent="0.25">
      <c r="A103" s="320" t="s">
        <v>585</v>
      </c>
      <c r="B103" s="318" t="str">
        <f>IFERROR(VLOOKUP($A103,#REF!,2,FALSE),"")</f>
        <v/>
      </c>
    </row>
    <row r="104" spans="1:2" s="318" customFormat="1" x14ac:dyDescent="0.25">
      <c r="A104" s="320" t="s">
        <v>586</v>
      </c>
      <c r="B104" s="318" t="str">
        <f>IFERROR(VLOOKUP($A104,#REF!,2,FALSE),"")</f>
        <v/>
      </c>
    </row>
    <row r="105" spans="1:2" s="318" customFormat="1" x14ac:dyDescent="0.25">
      <c r="A105" s="320" t="s">
        <v>210</v>
      </c>
      <c r="B105" s="318" t="str">
        <f>IFERROR(VLOOKUP($A105,#REF!,2,FALSE),"")</f>
        <v/>
      </c>
    </row>
    <row r="106" spans="1:2" s="318" customFormat="1" x14ac:dyDescent="0.25">
      <c r="A106" s="320" t="s">
        <v>228</v>
      </c>
      <c r="B106" s="318" t="str">
        <f>IFERROR(VLOOKUP($A106,#REF!,2,FALSE),"")</f>
        <v/>
      </c>
    </row>
    <row r="107" spans="1:2" s="318" customFormat="1" x14ac:dyDescent="0.25">
      <c r="A107" s="320" t="s">
        <v>137</v>
      </c>
      <c r="B107" s="318" t="str">
        <f>IFERROR(VLOOKUP($A107,#REF!,2,FALSE),"")</f>
        <v/>
      </c>
    </row>
    <row r="108" spans="1:2" s="318" customFormat="1" x14ac:dyDescent="0.25">
      <c r="A108" s="320" t="s">
        <v>164</v>
      </c>
      <c r="B108" s="318" t="str">
        <f>IFERROR(VLOOKUP($A108,#REF!,2,FALSE),"")</f>
        <v/>
      </c>
    </row>
    <row r="109" spans="1:2" s="318" customFormat="1" x14ac:dyDescent="0.25">
      <c r="A109" s="320" t="s">
        <v>587</v>
      </c>
      <c r="B109" s="318" t="str">
        <f>IFERROR(VLOOKUP($A109,#REF!,2,FALSE),"")</f>
        <v/>
      </c>
    </row>
    <row r="110" spans="1:2" s="318" customFormat="1" x14ac:dyDescent="0.25">
      <c r="A110" s="320" t="s">
        <v>588</v>
      </c>
      <c r="B110" s="318" t="str">
        <f>IFERROR(VLOOKUP($A110,#REF!,2,FALSE),"")</f>
        <v/>
      </c>
    </row>
    <row r="111" spans="1:2" s="318" customFormat="1" x14ac:dyDescent="0.25">
      <c r="A111" s="320" t="s">
        <v>589</v>
      </c>
      <c r="B111" s="318" t="str">
        <f>IFERROR(VLOOKUP($A111,#REF!,2,FALSE),"")</f>
        <v/>
      </c>
    </row>
    <row r="112" spans="1:2" s="318" customFormat="1" x14ac:dyDescent="0.25">
      <c r="A112" s="320" t="s">
        <v>108</v>
      </c>
      <c r="B112" s="318" t="str">
        <f>IFERROR(VLOOKUP($A112,#REF!,2,FALSE),"")</f>
        <v/>
      </c>
    </row>
    <row r="113" spans="1:2" s="318" customFormat="1" x14ac:dyDescent="0.25">
      <c r="A113" s="321" t="s">
        <v>660</v>
      </c>
      <c r="B113" s="318" t="str">
        <f>IFERROR(VLOOKUP($A113,#REF!,2,FALSE),"")</f>
        <v/>
      </c>
    </row>
    <row r="114" spans="1:2" s="318" customFormat="1" x14ac:dyDescent="0.25">
      <c r="A114" s="320" t="s">
        <v>590</v>
      </c>
      <c r="B114" s="318" t="str">
        <f>IFERROR(VLOOKUP($A114,#REF!,2,FALSE),"")</f>
        <v/>
      </c>
    </row>
    <row r="115" spans="1:2" s="318" customFormat="1" x14ac:dyDescent="0.25">
      <c r="A115" s="320" t="s">
        <v>591</v>
      </c>
      <c r="B115" s="318" t="str">
        <f>IFERROR(VLOOKUP($A115,#REF!,2,FALSE),"")</f>
        <v/>
      </c>
    </row>
    <row r="116" spans="1:2" s="318" customFormat="1" x14ac:dyDescent="0.25">
      <c r="A116" s="320" t="s">
        <v>592</v>
      </c>
      <c r="B116" s="318" t="str">
        <f>IFERROR(VLOOKUP($A116,#REF!,2,FALSE),"")</f>
        <v/>
      </c>
    </row>
    <row r="117" spans="1:2" s="318" customFormat="1" x14ac:dyDescent="0.25">
      <c r="A117" s="320" t="s">
        <v>189</v>
      </c>
      <c r="B117" s="318" t="str">
        <f>IFERROR(VLOOKUP($A117,#REF!,2,FALSE),"")</f>
        <v/>
      </c>
    </row>
    <row r="118" spans="1:2" s="318" customFormat="1" x14ac:dyDescent="0.25">
      <c r="A118" s="320" t="s">
        <v>593</v>
      </c>
      <c r="B118" s="318" t="str">
        <f>IFERROR(VLOOKUP($A118,#REF!,2,FALSE),"")</f>
        <v/>
      </c>
    </row>
    <row r="119" spans="1:2" s="318" customFormat="1" x14ac:dyDescent="0.25">
      <c r="A119" s="320" t="s">
        <v>450</v>
      </c>
      <c r="B119" s="318" t="str">
        <f>IFERROR(VLOOKUP($A119,#REF!,2,FALSE),"")</f>
        <v/>
      </c>
    </row>
    <row r="120" spans="1:2" s="318" customFormat="1" x14ac:dyDescent="0.25">
      <c r="A120" s="320" t="s">
        <v>594</v>
      </c>
      <c r="B120" s="318" t="str">
        <f>IFERROR(VLOOKUP($A120,#REF!,2,FALSE),"")</f>
        <v/>
      </c>
    </row>
    <row r="121" spans="1:2" s="318" customFormat="1" x14ac:dyDescent="0.25">
      <c r="A121" s="321" t="s">
        <v>668</v>
      </c>
      <c r="B121" s="318" t="str">
        <f>IFERROR(VLOOKUP($A121,#REF!,2,FALSE),"")</f>
        <v/>
      </c>
    </row>
    <row r="122" spans="1:2" s="318" customFormat="1" x14ac:dyDescent="0.25">
      <c r="A122" s="321" t="s">
        <v>657</v>
      </c>
      <c r="B122" s="318" t="str">
        <f>IFERROR(VLOOKUP($A122,#REF!,2,FALSE),"")</f>
        <v/>
      </c>
    </row>
    <row r="123" spans="1:2" s="318" customFormat="1" x14ac:dyDescent="0.25">
      <c r="A123" s="321" t="s">
        <v>658</v>
      </c>
      <c r="B123" s="318" t="str">
        <f>IFERROR(VLOOKUP($A123,#REF!,2,FALSE),"")</f>
        <v/>
      </c>
    </row>
    <row r="124" spans="1:2" s="318" customFormat="1" x14ac:dyDescent="0.25">
      <c r="A124" s="321" t="s">
        <v>655</v>
      </c>
      <c r="B124" s="318" t="str">
        <f>IFERROR(VLOOKUP($A124,#REF!,2,FALSE),"")</f>
        <v/>
      </c>
    </row>
    <row r="125" spans="1:2" s="318" customFormat="1" x14ac:dyDescent="0.25">
      <c r="A125" s="321" t="s">
        <v>656</v>
      </c>
      <c r="B125" s="318" t="str">
        <f>IFERROR(VLOOKUP($A125,#REF!,2,FALSE),"")</f>
        <v/>
      </c>
    </row>
    <row r="126" spans="1:2" s="318" customFormat="1" x14ac:dyDescent="0.25">
      <c r="A126" s="321" t="s">
        <v>651</v>
      </c>
      <c r="B126" s="318" t="str">
        <f>IFERROR(VLOOKUP($A126,#REF!,2,FALSE),"")</f>
        <v/>
      </c>
    </row>
    <row r="127" spans="1:2" s="318" customFormat="1" x14ac:dyDescent="0.25">
      <c r="A127" s="320" t="s">
        <v>595</v>
      </c>
      <c r="B127" s="318" t="str">
        <f>IFERROR(VLOOKUP($A127,#REF!,2,FALSE),"")</f>
        <v/>
      </c>
    </row>
    <row r="128" spans="1:2" s="318" customFormat="1" x14ac:dyDescent="0.25">
      <c r="A128" s="320" t="s">
        <v>596</v>
      </c>
      <c r="B128" s="318" t="str">
        <f>IFERROR(VLOOKUP($A128,#REF!,2,FALSE),"")</f>
        <v/>
      </c>
    </row>
    <row r="129" spans="1:2" s="318" customFormat="1" x14ac:dyDescent="0.25">
      <c r="A129" s="320" t="s">
        <v>597</v>
      </c>
      <c r="B129" s="318" t="str">
        <f>IFERROR(VLOOKUP($A129,#REF!,2,FALSE),"")</f>
        <v/>
      </c>
    </row>
    <row r="130" spans="1:2" s="318" customFormat="1" x14ac:dyDescent="0.25">
      <c r="A130" s="320" t="s">
        <v>598</v>
      </c>
      <c r="B130" s="318" t="str">
        <f>IFERROR(VLOOKUP($A130,#REF!,2,FALSE),"")</f>
        <v/>
      </c>
    </row>
    <row r="131" spans="1:2" s="318" customFormat="1" x14ac:dyDescent="0.25">
      <c r="A131" s="320" t="s">
        <v>599</v>
      </c>
      <c r="B131" s="318" t="str">
        <f>IFERROR(VLOOKUP($A131,#REF!,2,FALSE),"")</f>
        <v/>
      </c>
    </row>
    <row r="132" spans="1:2" s="318" customFormat="1" x14ac:dyDescent="0.25">
      <c r="A132" s="320" t="s">
        <v>600</v>
      </c>
      <c r="B132" s="318" t="str">
        <f>IFERROR(VLOOKUP($A132,#REF!,2,FALSE),"")</f>
        <v/>
      </c>
    </row>
    <row r="133" spans="1:2" s="318" customFormat="1" x14ac:dyDescent="0.25">
      <c r="A133" s="320" t="s">
        <v>601</v>
      </c>
      <c r="B133" s="318" t="str">
        <f>IFERROR(VLOOKUP($A133,#REF!,2,FALSE),"")</f>
        <v/>
      </c>
    </row>
    <row r="134" spans="1:2" s="318" customFormat="1" x14ac:dyDescent="0.25">
      <c r="A134" s="320" t="s">
        <v>602</v>
      </c>
      <c r="B134" s="318" t="str">
        <f>IFERROR(VLOOKUP($A134,#REF!,2,FALSE),"")</f>
        <v/>
      </c>
    </row>
    <row r="135" spans="1:2" s="318" customFormat="1" x14ac:dyDescent="0.25">
      <c r="A135" s="320" t="s">
        <v>603</v>
      </c>
      <c r="B135" s="318" t="str">
        <f>IFERROR(VLOOKUP($A135,#REF!,2,FALSE),"")</f>
        <v/>
      </c>
    </row>
    <row r="136" spans="1:2" s="318" customFormat="1" x14ac:dyDescent="0.25">
      <c r="A136" s="320" t="s">
        <v>604</v>
      </c>
      <c r="B136" s="318" t="str">
        <f>IFERROR(VLOOKUP($A136,#REF!,2,FALSE),"")</f>
        <v/>
      </c>
    </row>
    <row r="137" spans="1:2" s="318" customFormat="1" x14ac:dyDescent="0.25">
      <c r="A137" s="320" t="s">
        <v>605</v>
      </c>
      <c r="B137" s="318" t="str">
        <f>IFERROR(VLOOKUP($A137,#REF!,2,FALSE),"")</f>
        <v/>
      </c>
    </row>
    <row r="138" spans="1:2" s="318" customFormat="1" x14ac:dyDescent="0.25">
      <c r="A138" s="320" t="s">
        <v>606</v>
      </c>
      <c r="B138" s="318" t="str">
        <f>IFERROR(VLOOKUP($A138,#REF!,2,FALSE),"")</f>
        <v/>
      </c>
    </row>
    <row r="139" spans="1:2" s="318" customFormat="1" x14ac:dyDescent="0.25">
      <c r="A139" s="320" t="s">
        <v>607</v>
      </c>
      <c r="B139" s="318" t="str">
        <f>IFERROR(VLOOKUP($A139,#REF!,2,FALSE),"")</f>
        <v/>
      </c>
    </row>
    <row r="140" spans="1:2" s="318" customFormat="1" x14ac:dyDescent="0.25">
      <c r="A140" s="320" t="s">
        <v>608</v>
      </c>
      <c r="B140" s="318" t="str">
        <f>IFERROR(VLOOKUP($A140,#REF!,2,FALSE),"")</f>
        <v/>
      </c>
    </row>
    <row r="141" spans="1:2" s="318" customFormat="1" x14ac:dyDescent="0.25">
      <c r="A141" s="320" t="s">
        <v>609</v>
      </c>
      <c r="B141" s="318" t="str">
        <f>IFERROR(VLOOKUP($A141,#REF!,2,FALSE),"")</f>
        <v/>
      </c>
    </row>
    <row r="142" spans="1:2" s="318" customFormat="1" x14ac:dyDescent="0.25">
      <c r="A142" s="320" t="s">
        <v>610</v>
      </c>
      <c r="B142" s="318" t="str">
        <f>IFERROR(VLOOKUP($A142,#REF!,2,FALSE),"")</f>
        <v/>
      </c>
    </row>
    <row r="143" spans="1:2" s="318" customFormat="1" x14ac:dyDescent="0.25">
      <c r="A143" s="320" t="s">
        <v>611</v>
      </c>
      <c r="B143" s="318" t="str">
        <f>IFERROR(VLOOKUP($A143,#REF!,2,FALSE),"")</f>
        <v/>
      </c>
    </row>
    <row r="144" spans="1:2" s="318" customFormat="1" x14ac:dyDescent="0.25">
      <c r="A144" s="320" t="s">
        <v>612</v>
      </c>
      <c r="B144" s="318" t="str">
        <f>IFERROR(VLOOKUP($A144,#REF!,2,FALSE),"")</f>
        <v/>
      </c>
    </row>
    <row r="145" spans="1:2" s="318" customFormat="1" x14ac:dyDescent="0.25">
      <c r="A145" s="320" t="s">
        <v>613</v>
      </c>
      <c r="B145" s="318" t="str">
        <f>IFERROR(VLOOKUP($A145,#REF!,2,FALSE),"")</f>
        <v/>
      </c>
    </row>
    <row r="146" spans="1:2" s="318" customFormat="1" x14ac:dyDescent="0.25">
      <c r="A146" s="320" t="s">
        <v>614</v>
      </c>
      <c r="B146" s="318" t="str">
        <f>IFERROR(VLOOKUP($A146,#REF!,2,FALSE),"")</f>
        <v/>
      </c>
    </row>
    <row r="147" spans="1:2" s="318" customFormat="1" x14ac:dyDescent="0.25">
      <c r="A147" s="320" t="s">
        <v>615</v>
      </c>
      <c r="B147" s="318" t="str">
        <f>IFERROR(VLOOKUP($A147,#REF!,2,FALSE),"")</f>
        <v/>
      </c>
    </row>
    <row r="148" spans="1:2" s="318" customFormat="1" x14ac:dyDescent="0.25">
      <c r="A148" s="320" t="s">
        <v>616</v>
      </c>
      <c r="B148" s="318" t="str">
        <f>IFERROR(VLOOKUP($A148,#REF!,2,FALSE),"")</f>
        <v/>
      </c>
    </row>
    <row r="149" spans="1:2" s="318" customFormat="1" x14ac:dyDescent="0.25">
      <c r="A149" s="320" t="s">
        <v>617</v>
      </c>
      <c r="B149" s="318" t="str">
        <f>IFERROR(VLOOKUP($A149,#REF!,2,FALSE),"")</f>
        <v/>
      </c>
    </row>
    <row r="150" spans="1:2" s="318" customFormat="1" x14ac:dyDescent="0.25">
      <c r="A150" s="320" t="s">
        <v>618</v>
      </c>
      <c r="B150" s="318" t="str">
        <f>IFERROR(VLOOKUP($A150,#REF!,2,FALSE),"")</f>
        <v/>
      </c>
    </row>
    <row r="151" spans="1:2" s="318" customFormat="1" x14ac:dyDescent="0.25">
      <c r="A151" s="320" t="s">
        <v>619</v>
      </c>
      <c r="B151" s="318" t="str">
        <f>IFERROR(VLOOKUP($A151,#REF!,2,FALSE),"")</f>
        <v/>
      </c>
    </row>
    <row r="152" spans="1:2" s="318" customFormat="1" x14ac:dyDescent="0.25">
      <c r="A152" s="320" t="s">
        <v>620</v>
      </c>
      <c r="B152" s="318" t="str">
        <f>IFERROR(VLOOKUP($A152,#REF!,2,FALSE),"")</f>
        <v/>
      </c>
    </row>
    <row r="153" spans="1:2" s="318" customFormat="1" x14ac:dyDescent="0.25">
      <c r="A153" s="320" t="s">
        <v>621</v>
      </c>
      <c r="B153" s="318" t="str">
        <f>IFERROR(VLOOKUP($A153,#REF!,2,FALSE),"")</f>
        <v/>
      </c>
    </row>
    <row r="154" spans="1:2" s="318" customFormat="1" x14ac:dyDescent="0.25">
      <c r="A154" s="320" t="s">
        <v>622</v>
      </c>
      <c r="B154" s="318" t="str">
        <f>IFERROR(VLOOKUP($A154,#REF!,2,FALSE),"")</f>
        <v/>
      </c>
    </row>
    <row r="155" spans="1:2" s="318" customFormat="1" x14ac:dyDescent="0.25">
      <c r="A155" s="320" t="s">
        <v>623</v>
      </c>
      <c r="B155" s="318" t="str">
        <f>IFERROR(VLOOKUP($A155,#REF!,2,FALSE),"")</f>
        <v/>
      </c>
    </row>
    <row r="156" spans="1:2" s="318" customFormat="1" x14ac:dyDescent="0.25">
      <c r="A156" s="320" t="s">
        <v>624</v>
      </c>
      <c r="B156" s="318" t="str">
        <f>IFERROR(VLOOKUP($A156,#REF!,2,FALSE),"")</f>
        <v/>
      </c>
    </row>
    <row r="157" spans="1:2" s="318" customFormat="1" x14ac:dyDescent="0.25">
      <c r="A157" s="320" t="s">
        <v>625</v>
      </c>
      <c r="B157" s="318" t="str">
        <f>IFERROR(VLOOKUP($A157,#REF!,2,FALSE),"")</f>
        <v/>
      </c>
    </row>
    <row r="158" spans="1:2" s="318" customFormat="1" x14ac:dyDescent="0.25">
      <c r="A158" s="320" t="s">
        <v>626</v>
      </c>
      <c r="B158" s="318" t="str">
        <f>IFERROR(VLOOKUP($A158,#REF!,2,FALSE),"")</f>
        <v/>
      </c>
    </row>
    <row r="159" spans="1:2" x14ac:dyDescent="0.25">
      <c r="A159" s="320" t="s">
        <v>627</v>
      </c>
      <c r="B159" s="318" t="str">
        <f>IFERROR(VLOOKUP($A159,#REF!,2,FALSE),"")</f>
        <v/>
      </c>
    </row>
    <row r="160" spans="1:2" x14ac:dyDescent="0.25">
      <c r="A160" s="320" t="s">
        <v>628</v>
      </c>
      <c r="B160" s="318" t="str">
        <f>IFERROR(VLOOKUP($A160,#REF!,2,FALSE),"")</f>
        <v/>
      </c>
    </row>
    <row r="161" spans="1:2" x14ac:dyDescent="0.25">
      <c r="A161" s="320" t="s">
        <v>629</v>
      </c>
      <c r="B161" s="318" t="str">
        <f>IFERROR(VLOOKUP($A161,#REF!,2,FALSE),"")</f>
        <v/>
      </c>
    </row>
    <row r="162" spans="1:2" x14ac:dyDescent="0.25">
      <c r="A162" s="320" t="s">
        <v>630</v>
      </c>
      <c r="B162" s="318" t="str">
        <f>IFERROR(VLOOKUP($A162,#REF!,2,FALSE),"")</f>
        <v/>
      </c>
    </row>
    <row r="163" spans="1:2" x14ac:dyDescent="0.25">
      <c r="A163" s="320" t="s">
        <v>631</v>
      </c>
      <c r="B163" s="318" t="str">
        <f>IFERROR(VLOOKUP($A163,#REF!,2,FALSE),"")</f>
        <v/>
      </c>
    </row>
    <row r="164" spans="1:2" x14ac:dyDescent="0.25">
      <c r="A164" s="320" t="s">
        <v>454</v>
      </c>
      <c r="B164" s="318" t="str">
        <f>IFERROR(VLOOKUP($A164,#REF!,2,FALSE),"")</f>
        <v/>
      </c>
    </row>
    <row r="165" spans="1:2" x14ac:dyDescent="0.25">
      <c r="A165" s="320" t="s">
        <v>198</v>
      </c>
      <c r="B165" s="318" t="str">
        <f>IFERROR(VLOOKUP($A165,#REF!,2,FALSE),"")</f>
        <v/>
      </c>
    </row>
    <row r="166" spans="1:2" x14ac:dyDescent="0.25">
      <c r="A166" s="321" t="s">
        <v>667</v>
      </c>
      <c r="B166" s="318" t="str">
        <f>IFERROR(VLOOKUP($A166,#REF!,2,FALSE),"")</f>
        <v/>
      </c>
    </row>
    <row r="167" spans="1:2" x14ac:dyDescent="0.25">
      <c r="A167" s="321" t="s">
        <v>662</v>
      </c>
      <c r="B167" s="318" t="str">
        <f>IFERROR(VLOOKUP($A167,#REF!,2,FALSE),"")</f>
        <v/>
      </c>
    </row>
    <row r="168" spans="1:2" x14ac:dyDescent="0.25">
      <c r="A168" s="321" t="s">
        <v>663</v>
      </c>
      <c r="B168" s="318" t="str">
        <f>IFERROR(VLOOKUP($A168,#REF!,2,FALSE),"")</f>
        <v/>
      </c>
    </row>
    <row r="169" spans="1:2" x14ac:dyDescent="0.25">
      <c r="A169" s="320" t="s">
        <v>194</v>
      </c>
      <c r="B169" s="318" t="str">
        <f>IFERROR(VLOOKUP($A169,#REF!,2,FALSE),"")</f>
        <v/>
      </c>
    </row>
    <row r="170" spans="1:2" x14ac:dyDescent="0.25">
      <c r="A170" s="320" t="s">
        <v>632</v>
      </c>
      <c r="B170" s="318" t="str">
        <f>IFERROR(VLOOKUP($A170,#REF!,2,FALSE),"")</f>
        <v/>
      </c>
    </row>
    <row r="171" spans="1:2" x14ac:dyDescent="0.25">
      <c r="A171" s="320" t="s">
        <v>633</v>
      </c>
      <c r="B171" s="318" t="str">
        <f>IFERROR(VLOOKUP($A171,#REF!,2,FALSE),"")</f>
        <v/>
      </c>
    </row>
    <row r="172" spans="1:2" x14ac:dyDescent="0.25">
      <c r="A172" s="321" t="s">
        <v>649</v>
      </c>
      <c r="B172" s="318" t="str">
        <f>IFERROR(VLOOKUP($A172,#REF!,2,FALSE),"")</f>
        <v/>
      </c>
    </row>
    <row r="173" spans="1:2" x14ac:dyDescent="0.25">
      <c r="A173" s="321" t="s">
        <v>650</v>
      </c>
      <c r="B173" s="318" t="str">
        <f>IFERROR(VLOOKUP($A173,#REF!,2,FALSE),"")</f>
        <v/>
      </c>
    </row>
    <row r="174" spans="1:2" x14ac:dyDescent="0.25">
      <c r="A174" s="320" t="s">
        <v>74</v>
      </c>
      <c r="B174" s="318" t="str">
        <f>IFERROR(VLOOKUP($A174,#REF!,2,FALSE),"")</f>
        <v/>
      </c>
    </row>
    <row r="175" spans="1:2" x14ac:dyDescent="0.25">
      <c r="A175" s="320" t="s">
        <v>208</v>
      </c>
      <c r="B175" s="318" t="str">
        <f>IFERROR(VLOOKUP($A175,#REF!,2,FALSE),"")</f>
        <v/>
      </c>
    </row>
    <row r="176" spans="1:2" x14ac:dyDescent="0.25">
      <c r="A176" s="320" t="s">
        <v>634</v>
      </c>
      <c r="B176" s="318" t="str">
        <f>IFERROR(VLOOKUP($A176,#REF!,2,FALSE),"")</f>
        <v/>
      </c>
    </row>
    <row r="177" spans="1:2" x14ac:dyDescent="0.25">
      <c r="A177" s="320" t="s">
        <v>95</v>
      </c>
      <c r="B177" s="318" t="str">
        <f>IFERROR(VLOOKUP($A177,#REF!,2,FALSE),"")</f>
        <v/>
      </c>
    </row>
    <row r="178" spans="1:2" x14ac:dyDescent="0.25">
      <c r="A178" s="320" t="s">
        <v>219</v>
      </c>
      <c r="B178" s="318" t="str">
        <f>IFERROR(VLOOKUP($A178,#REF!,2,FALSE),"")</f>
        <v/>
      </c>
    </row>
    <row r="179" spans="1:2" x14ac:dyDescent="0.25">
      <c r="A179" s="320" t="s">
        <v>214</v>
      </c>
      <c r="B179" s="318" t="str">
        <f>IFERROR(VLOOKUP($A179,#REF!,2,FALSE),"")</f>
        <v/>
      </c>
    </row>
    <row r="180" spans="1:2" x14ac:dyDescent="0.25">
      <c r="A180" s="320" t="s">
        <v>635</v>
      </c>
      <c r="B180" s="318" t="str">
        <f>IFERROR(VLOOKUP($A180,#REF!,2,FALSE),"")</f>
        <v/>
      </c>
    </row>
    <row r="181" spans="1:2" x14ac:dyDescent="0.25">
      <c r="A181" s="320" t="s">
        <v>636</v>
      </c>
      <c r="B181" s="318" t="str">
        <f>IFERROR(VLOOKUP($A181,#REF!,2,FALSE),"")</f>
        <v/>
      </c>
    </row>
    <row r="182" spans="1:2" x14ac:dyDescent="0.25">
      <c r="A182" s="320" t="s">
        <v>195</v>
      </c>
      <c r="B182" s="318" t="str">
        <f>IFERROR(VLOOKUP($A182,#REF!,2,FALSE),"")</f>
        <v/>
      </c>
    </row>
    <row r="183" spans="1:2" x14ac:dyDescent="0.25">
      <c r="A183" s="320" t="s">
        <v>114</v>
      </c>
      <c r="B183" s="318" t="str">
        <f>IFERROR(VLOOKUP($A183,#REF!,2,FALSE),"")</f>
        <v/>
      </c>
    </row>
    <row r="184" spans="1:2" x14ac:dyDescent="0.25">
      <c r="A184" s="320" t="s">
        <v>254</v>
      </c>
      <c r="B184" s="318" t="str">
        <f>IFERROR(VLOOKUP($A184,#REF!,2,FALSE),"")</f>
        <v/>
      </c>
    </row>
    <row r="185" spans="1:2" x14ac:dyDescent="0.25">
      <c r="A185" s="320" t="s">
        <v>637</v>
      </c>
      <c r="B185" s="318" t="str">
        <f>IFERROR(VLOOKUP($A185,#REF!,2,FALSE),"")</f>
        <v/>
      </c>
    </row>
    <row r="186" spans="1:2" x14ac:dyDescent="0.25">
      <c r="A186" s="321" t="s">
        <v>644</v>
      </c>
      <c r="B186" s="318" t="str">
        <f>IFERROR(VLOOKUP($A186,#REF!,2,FALSE),"")</f>
        <v/>
      </c>
    </row>
    <row r="187" spans="1:2" x14ac:dyDescent="0.25">
      <c r="A187" s="320" t="s">
        <v>638</v>
      </c>
      <c r="B187" s="318" t="str">
        <f>IFERROR(VLOOKUP($A187,#REF!,2,FALSE),"")</f>
        <v/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32"/>
  <sheetViews>
    <sheetView workbookViewId="0">
      <selection activeCell="B13" sqref="B13"/>
    </sheetView>
  </sheetViews>
  <sheetFormatPr baseColWidth="10" defaultRowHeight="15" x14ac:dyDescent="0.25"/>
  <cols>
    <col min="1" max="1" width="23.85546875" customWidth="1"/>
    <col min="2" max="2" width="34.7109375" customWidth="1"/>
    <col min="3" max="3" width="8.5703125" customWidth="1"/>
    <col min="4" max="4" width="6.7109375" style="162" customWidth="1"/>
    <col min="5" max="5" width="9.85546875" customWidth="1"/>
    <col min="6" max="6" width="10.85546875" customWidth="1"/>
    <col min="7" max="7" width="8.7109375" customWidth="1"/>
    <col min="8" max="8" width="11.140625" customWidth="1"/>
    <col min="9" max="9" width="5.28515625" customWidth="1"/>
  </cols>
  <sheetData>
    <row r="1" spans="1:10" x14ac:dyDescent="0.25">
      <c r="A1" t="s">
        <v>431</v>
      </c>
    </row>
    <row r="3" spans="1:10" ht="20.25" x14ac:dyDescent="0.3">
      <c r="A3" s="2"/>
      <c r="B3" s="4" t="s">
        <v>0</v>
      </c>
      <c r="C3" s="2"/>
      <c r="D3" s="2"/>
    </row>
    <row r="4" spans="1:10" ht="15.75" x14ac:dyDescent="0.25">
      <c r="A4" s="2"/>
      <c r="B4" s="2"/>
      <c r="C4" s="2"/>
      <c r="D4" s="2"/>
    </row>
    <row r="5" spans="1:10" ht="20.25" x14ac:dyDescent="0.3">
      <c r="A5" s="1"/>
      <c r="B5" s="4" t="s">
        <v>28</v>
      </c>
      <c r="C5" s="2"/>
      <c r="D5" s="2"/>
    </row>
    <row r="6" spans="1:10" ht="20.25" x14ac:dyDescent="0.3">
      <c r="A6" s="4"/>
      <c r="B6" s="2"/>
      <c r="C6" s="2"/>
      <c r="D6" s="2"/>
    </row>
    <row r="7" spans="1:10" ht="15.75" x14ac:dyDescent="0.25">
      <c r="A7" s="3" t="s">
        <v>1</v>
      </c>
      <c r="B7" s="3" t="s">
        <v>29</v>
      </c>
      <c r="C7" s="5"/>
      <c r="D7" s="5"/>
    </row>
    <row r="8" spans="1:10" ht="15.75" x14ac:dyDescent="0.25">
      <c r="A8" s="3" t="s">
        <v>2</v>
      </c>
      <c r="B8" s="3" t="s">
        <v>3</v>
      </c>
      <c r="C8" s="5"/>
      <c r="D8" s="5"/>
    </row>
    <row r="9" spans="1:10" ht="16.5" thickBot="1" x14ac:dyDescent="0.3">
      <c r="A9" s="3" t="s">
        <v>4</v>
      </c>
      <c r="B9" s="3" t="s">
        <v>30</v>
      </c>
      <c r="C9" s="5"/>
      <c r="D9" s="5"/>
    </row>
    <row r="10" spans="1:10" ht="16.5" thickBot="1" x14ac:dyDescent="0.3">
      <c r="A10" s="3" t="s">
        <v>5</v>
      </c>
      <c r="B10" s="3" t="s">
        <v>31</v>
      </c>
      <c r="C10" s="5"/>
      <c r="D10" s="5"/>
      <c r="F10" s="29" t="s">
        <v>156</v>
      </c>
      <c r="G10" s="28"/>
      <c r="H10" s="191" t="s">
        <v>157</v>
      </c>
      <c r="I10" s="192"/>
    </row>
    <row r="11" spans="1:10" ht="15.75" x14ac:dyDescent="0.25">
      <c r="A11" s="3" t="s">
        <v>6</v>
      </c>
      <c r="B11" s="3" t="s">
        <v>7</v>
      </c>
      <c r="C11" s="5"/>
      <c r="D11" s="5"/>
      <c r="F11" s="12" t="s">
        <v>158</v>
      </c>
      <c r="G11" s="1">
        <v>150</v>
      </c>
      <c r="H11" s="193" t="s">
        <v>158</v>
      </c>
      <c r="I11" s="192">
        <v>260</v>
      </c>
      <c r="J11" t="s">
        <v>229</v>
      </c>
    </row>
    <row r="12" spans="1:10" ht="16.5" thickBot="1" x14ac:dyDescent="0.3">
      <c r="A12" s="3" t="s">
        <v>8</v>
      </c>
      <c r="B12" s="3"/>
      <c r="C12" s="5"/>
      <c r="D12" s="5"/>
      <c r="E12" s="44" t="s">
        <v>274</v>
      </c>
      <c r="F12" s="12" t="s">
        <v>160</v>
      </c>
      <c r="G12" s="1">
        <f>150*1000/20</f>
        <v>7500</v>
      </c>
      <c r="H12" s="193">
        <f>I11*1000/20</f>
        <v>13000</v>
      </c>
      <c r="I12" s="192"/>
    </row>
    <row r="13" spans="1:10" ht="15.75" x14ac:dyDescent="0.25">
      <c r="A13" s="329" t="s">
        <v>9</v>
      </c>
      <c r="B13" s="11" t="s">
        <v>32</v>
      </c>
      <c r="C13" s="7">
        <v>1.9E-2</v>
      </c>
      <c r="D13" t="s">
        <v>190</v>
      </c>
      <c r="E13" s="44" t="s">
        <v>289</v>
      </c>
      <c r="F13" s="30">
        <f>C13*G12</f>
        <v>142.5</v>
      </c>
      <c r="G13" s="32"/>
      <c r="H13" s="194">
        <f>C13*H12</f>
        <v>247</v>
      </c>
      <c r="I13" s="192"/>
    </row>
    <row r="14" spans="1:10" ht="15.75" x14ac:dyDescent="0.25">
      <c r="A14" s="330"/>
      <c r="B14" s="6" t="s">
        <v>33</v>
      </c>
      <c r="C14" s="8">
        <v>1E-3</v>
      </c>
      <c r="D14" t="s">
        <v>190</v>
      </c>
      <c r="E14" s="44" t="s">
        <v>386</v>
      </c>
      <c r="F14" s="30">
        <f>C14*G12</f>
        <v>7.5</v>
      </c>
      <c r="G14" s="32"/>
      <c r="H14" s="194">
        <f>C14*H12</f>
        <v>13</v>
      </c>
      <c r="I14" s="192"/>
    </row>
    <row r="15" spans="1:10" ht="15.75" x14ac:dyDescent="0.25">
      <c r="A15" s="330"/>
      <c r="B15" s="6" t="s">
        <v>10</v>
      </c>
      <c r="C15" s="8">
        <v>1.818E-3</v>
      </c>
      <c r="D15" t="s">
        <v>190</v>
      </c>
      <c r="E15" s="44" t="s">
        <v>291</v>
      </c>
      <c r="F15" s="30">
        <f>C15*G12</f>
        <v>13.635</v>
      </c>
      <c r="G15" s="32"/>
      <c r="H15" s="194">
        <f>C15*H12</f>
        <v>23.634</v>
      </c>
      <c r="I15" s="192"/>
    </row>
    <row r="16" spans="1:10" ht="15.75" x14ac:dyDescent="0.25">
      <c r="A16" s="330"/>
      <c r="B16" s="6" t="s">
        <v>11</v>
      </c>
      <c r="C16" s="8">
        <v>1.6559999999999999E-3</v>
      </c>
      <c r="D16" t="s">
        <v>190</v>
      </c>
      <c r="E16" s="44" t="s">
        <v>385</v>
      </c>
      <c r="F16" s="30">
        <f>C16*G12</f>
        <v>12.42</v>
      </c>
      <c r="G16" s="32"/>
      <c r="H16" s="194">
        <f>C16*H12</f>
        <v>21.527999999999999</v>
      </c>
      <c r="I16" s="192"/>
    </row>
    <row r="17" spans="1:9" ht="15.75" x14ac:dyDescent="0.25">
      <c r="A17" s="330"/>
      <c r="B17" s="6" t="s">
        <v>12</v>
      </c>
      <c r="C17" s="8">
        <v>1</v>
      </c>
      <c r="D17" t="s">
        <v>161</v>
      </c>
      <c r="E17" s="44" t="s">
        <v>387</v>
      </c>
      <c r="F17" s="31">
        <f>C17*G12</f>
        <v>7500</v>
      </c>
      <c r="G17" s="33"/>
      <c r="H17" s="195">
        <f>C17*H12</f>
        <v>13000</v>
      </c>
      <c r="I17" s="192"/>
    </row>
    <row r="18" spans="1:9" ht="15.75" x14ac:dyDescent="0.25">
      <c r="A18" s="330"/>
      <c r="B18" s="6" t="s">
        <v>13</v>
      </c>
      <c r="C18" s="8">
        <v>1</v>
      </c>
      <c r="D18" t="s">
        <v>161</v>
      </c>
      <c r="E18" s="44" t="s">
        <v>388</v>
      </c>
      <c r="F18" s="31">
        <f>C18*G12</f>
        <v>7500</v>
      </c>
      <c r="G18" s="33"/>
      <c r="H18" s="195">
        <f>C18*H12</f>
        <v>13000</v>
      </c>
      <c r="I18" s="192"/>
    </row>
    <row r="19" spans="1:9" ht="15.75" x14ac:dyDescent="0.25">
      <c r="A19" s="330"/>
      <c r="B19" s="6" t="s">
        <v>14</v>
      </c>
      <c r="C19" s="8">
        <v>1</v>
      </c>
      <c r="D19" t="s">
        <v>161</v>
      </c>
      <c r="E19" s="44" t="s">
        <v>322</v>
      </c>
      <c r="F19" s="31">
        <f>C19*G12</f>
        <v>7500</v>
      </c>
      <c r="G19" s="33"/>
      <c r="H19" s="195">
        <f>C19*H12</f>
        <v>13000</v>
      </c>
      <c r="I19" s="192"/>
    </row>
    <row r="20" spans="1:9" ht="16.5" thickBot="1" x14ac:dyDescent="0.3">
      <c r="A20" s="331"/>
      <c r="B20" s="9" t="s">
        <v>15</v>
      </c>
      <c r="C20" s="10">
        <v>0.01</v>
      </c>
      <c r="D20" t="s">
        <v>161</v>
      </c>
      <c r="E20" s="44" t="s">
        <v>281</v>
      </c>
      <c r="F20" s="31">
        <f>C20*G12</f>
        <v>75</v>
      </c>
      <c r="G20" s="33"/>
      <c r="H20" s="195">
        <f>C20*H12</f>
        <v>130</v>
      </c>
      <c r="I20" s="192"/>
    </row>
    <row r="23" spans="1:9" ht="15.75" x14ac:dyDescent="0.25">
      <c r="A23" s="124" t="s">
        <v>233</v>
      </c>
      <c r="B23" s="124" t="s">
        <v>233</v>
      </c>
      <c r="C23" s="125" t="s">
        <v>234</v>
      </c>
      <c r="D23" s="125"/>
    </row>
    <row r="24" spans="1:9" ht="15.75" x14ac:dyDescent="0.25">
      <c r="A24" s="122" t="s">
        <v>235</v>
      </c>
      <c r="B24" s="122" t="s">
        <v>236</v>
      </c>
      <c r="C24" s="123" t="s">
        <v>237</v>
      </c>
      <c r="D24" s="123"/>
    </row>
    <row r="25" spans="1:9" ht="15.75" x14ac:dyDescent="0.25">
      <c r="A25" s="122" t="s">
        <v>238</v>
      </c>
      <c r="B25" s="122" t="s">
        <v>239</v>
      </c>
      <c r="C25" s="123" t="s">
        <v>240</v>
      </c>
      <c r="D25" s="123"/>
    </row>
    <row r="26" spans="1:9" x14ac:dyDescent="0.25">
      <c r="A26" s="121"/>
      <c r="B26" s="121"/>
    </row>
    <row r="27" spans="1:9" x14ac:dyDescent="0.25">
      <c r="A27" s="121"/>
      <c r="B27" s="121"/>
    </row>
    <row r="28" spans="1:9" x14ac:dyDescent="0.25">
      <c r="A28" s="121"/>
      <c r="B28" s="121"/>
    </row>
    <row r="29" spans="1:9" x14ac:dyDescent="0.25">
      <c r="A29" s="121"/>
      <c r="B29" s="121"/>
    </row>
    <row r="30" spans="1:9" x14ac:dyDescent="0.25">
      <c r="A30" s="121"/>
      <c r="B30" s="121"/>
    </row>
    <row r="31" spans="1:9" x14ac:dyDescent="0.25">
      <c r="A31" s="121"/>
      <c r="B31" s="121"/>
    </row>
    <row r="32" spans="1:9" x14ac:dyDescent="0.25">
      <c r="A32" s="121"/>
      <c r="B32" s="121"/>
    </row>
  </sheetData>
  <mergeCells count="1">
    <mergeCell ref="A13:A20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G41"/>
  <sheetViews>
    <sheetView topLeftCell="A4" workbookViewId="0">
      <selection activeCell="B13" sqref="B13"/>
    </sheetView>
  </sheetViews>
  <sheetFormatPr baseColWidth="10" defaultRowHeight="15" x14ac:dyDescent="0.25"/>
  <cols>
    <col min="1" max="1" width="34" customWidth="1"/>
    <col min="2" max="2" width="54.5703125" customWidth="1"/>
    <col min="3" max="3" width="10.140625" style="162" customWidth="1"/>
  </cols>
  <sheetData>
    <row r="2" spans="1:7" ht="20.25" x14ac:dyDescent="0.3">
      <c r="A2" s="4" t="s">
        <v>0</v>
      </c>
      <c r="B2" s="1"/>
      <c r="C2" s="1"/>
    </row>
    <row r="4" spans="1:7" ht="20.25" x14ac:dyDescent="0.3">
      <c r="A4" s="4" t="s">
        <v>36</v>
      </c>
      <c r="B4" s="2"/>
      <c r="C4" s="2"/>
    </row>
    <row r="5" spans="1:7" ht="15.75" x14ac:dyDescent="0.25">
      <c r="A5" s="2"/>
      <c r="B5" s="2"/>
      <c r="C5" s="2"/>
      <c r="E5" s="319"/>
    </row>
    <row r="6" spans="1:7" ht="15.75" x14ac:dyDescent="0.25">
      <c r="A6" s="3" t="s">
        <v>37</v>
      </c>
      <c r="B6" s="5"/>
      <c r="C6" s="5"/>
      <c r="E6" s="319"/>
    </row>
    <row r="7" spans="1:7" ht="15.75" x14ac:dyDescent="0.25">
      <c r="A7" s="3" t="s">
        <v>38</v>
      </c>
      <c r="B7" s="5"/>
      <c r="C7" s="5"/>
    </row>
    <row r="8" spans="1:7" ht="15.75" x14ac:dyDescent="0.25">
      <c r="A8" s="3" t="s">
        <v>39</v>
      </c>
      <c r="B8" s="5"/>
      <c r="C8" s="5"/>
    </row>
    <row r="9" spans="1:7" ht="16.5" thickBot="1" x14ac:dyDescent="0.3">
      <c r="A9" s="3" t="s">
        <v>40</v>
      </c>
      <c r="B9" s="5"/>
      <c r="C9" s="5"/>
    </row>
    <row r="10" spans="1:7" ht="16.5" thickBot="1" x14ac:dyDescent="0.3">
      <c r="A10" s="3" t="s">
        <v>41</v>
      </c>
      <c r="B10" s="5"/>
      <c r="C10" s="5"/>
      <c r="E10" s="29" t="s">
        <v>230</v>
      </c>
      <c r="F10" s="28"/>
      <c r="G10" s="83"/>
    </row>
    <row r="11" spans="1:7" ht="15.75" x14ac:dyDescent="0.25">
      <c r="A11" s="3"/>
      <c r="B11" s="5"/>
      <c r="C11" s="5"/>
      <c r="E11" s="12" t="s">
        <v>158</v>
      </c>
      <c r="F11" s="1">
        <v>315</v>
      </c>
      <c r="G11" s="12"/>
    </row>
    <row r="12" spans="1:7" ht="15.75" x14ac:dyDescent="0.25">
      <c r="A12" s="5"/>
      <c r="B12" s="3"/>
      <c r="C12" s="5"/>
      <c r="D12" s="44" t="s">
        <v>274</v>
      </c>
      <c r="E12" s="19" t="s">
        <v>160</v>
      </c>
      <c r="F12" s="1">
        <f>F11*1000/5.655</f>
        <v>55702.917771883287</v>
      </c>
      <c r="G12" s="12"/>
    </row>
    <row r="13" spans="1:7" ht="15.75" x14ac:dyDescent="0.25">
      <c r="A13" s="3" t="s">
        <v>42</v>
      </c>
      <c r="B13" s="13">
        <v>2.0832000000000001E-4</v>
      </c>
      <c r="C13" t="s">
        <v>190</v>
      </c>
      <c r="D13" s="44" t="s">
        <v>389</v>
      </c>
      <c r="E13" s="129">
        <f>0.00020832*F12</f>
        <v>11.604031830238727</v>
      </c>
      <c r="F13" s="32"/>
      <c r="G13" s="30"/>
    </row>
    <row r="14" spans="1:7" ht="15.75" x14ac:dyDescent="0.25">
      <c r="A14" s="3" t="s">
        <v>43</v>
      </c>
      <c r="B14" s="15">
        <v>2.7E-2</v>
      </c>
      <c r="C14" t="s">
        <v>190</v>
      </c>
      <c r="D14" s="44" t="s">
        <v>330</v>
      </c>
      <c r="E14" s="129">
        <f>B14*F12</f>
        <v>1503.9787798408488</v>
      </c>
      <c r="F14" s="32"/>
      <c r="G14" s="30"/>
    </row>
    <row r="15" spans="1:7" ht="15.75" x14ac:dyDescent="0.25">
      <c r="A15" s="3" t="s">
        <v>44</v>
      </c>
      <c r="B15" s="13">
        <v>4.5000000000000003E-5</v>
      </c>
      <c r="C15" t="s">
        <v>190</v>
      </c>
      <c r="D15" s="44" t="s">
        <v>285</v>
      </c>
      <c r="E15" s="129">
        <f>B15*F12</f>
        <v>2.5066312997347482</v>
      </c>
      <c r="F15" s="32"/>
      <c r="G15" s="30"/>
    </row>
    <row r="16" spans="1:7" ht="15.75" x14ac:dyDescent="0.25">
      <c r="A16" s="3" t="s">
        <v>45</v>
      </c>
      <c r="B16" s="13">
        <v>2.7016800000000001E-3</v>
      </c>
      <c r="C16" t="s">
        <v>190</v>
      </c>
      <c r="D16" s="44" t="s">
        <v>331</v>
      </c>
      <c r="E16" s="129">
        <f>B16*F12</f>
        <v>150.49145888594165</v>
      </c>
      <c r="F16" s="32"/>
      <c r="G16" s="30"/>
    </row>
    <row r="17" spans="1:7" ht="15.75" x14ac:dyDescent="0.25">
      <c r="A17" s="3" t="s">
        <v>46</v>
      </c>
      <c r="B17" s="13">
        <v>30</v>
      </c>
      <c r="C17" t="s">
        <v>174</v>
      </c>
      <c r="D17" s="44"/>
      <c r="E17" s="130">
        <f>B17*F12</f>
        <v>1671087.5331564986</v>
      </c>
      <c r="F17" s="33"/>
      <c r="G17" s="31"/>
    </row>
    <row r="18" spans="1:7" ht="15.75" x14ac:dyDescent="0.25">
      <c r="A18" s="3" t="s">
        <v>47</v>
      </c>
      <c r="B18" s="13">
        <v>5.718E-3</v>
      </c>
      <c r="C18" t="s">
        <v>190</v>
      </c>
      <c r="D18" s="44"/>
      <c r="E18" s="130">
        <f>B18*F12</f>
        <v>318.50928381962865</v>
      </c>
      <c r="F18" s="33"/>
      <c r="G18" s="31"/>
    </row>
    <row r="19" spans="1:7" ht="15.75" x14ac:dyDescent="0.25">
      <c r="A19" s="3" t="s">
        <v>48</v>
      </c>
      <c r="B19" s="13">
        <v>1.4339999999999999E-3</v>
      </c>
      <c r="C19" t="s">
        <v>190</v>
      </c>
      <c r="D19" s="44"/>
      <c r="E19" s="130">
        <f>B19*F12</f>
        <v>79.877984084880637</v>
      </c>
      <c r="F19" s="33"/>
      <c r="G19" s="31"/>
    </row>
    <row r="20" spans="1:7" ht="15.75" x14ac:dyDescent="0.25">
      <c r="A20" s="3" t="s">
        <v>12</v>
      </c>
      <c r="B20" s="13">
        <v>1</v>
      </c>
      <c r="C20" t="s">
        <v>161</v>
      </c>
      <c r="D20" s="44"/>
      <c r="E20" s="130">
        <f>B20*F12</f>
        <v>55702.917771883287</v>
      </c>
      <c r="F20" s="33"/>
      <c r="G20" s="31"/>
    </row>
    <row r="21" spans="1:7" ht="15.75" x14ac:dyDescent="0.25">
      <c r="A21" s="3" t="s">
        <v>13</v>
      </c>
      <c r="B21" s="13">
        <v>1</v>
      </c>
      <c r="C21" t="s">
        <v>161</v>
      </c>
      <c r="D21" s="44"/>
      <c r="E21" s="180">
        <f>B21*F12</f>
        <v>55702.917771883287</v>
      </c>
      <c r="G21" s="44"/>
    </row>
    <row r="22" spans="1:7" ht="15.75" x14ac:dyDescent="0.25">
      <c r="A22" s="3" t="s">
        <v>14</v>
      </c>
      <c r="B22" s="13">
        <v>1</v>
      </c>
      <c r="C22" t="s">
        <v>161</v>
      </c>
      <c r="D22" s="44"/>
      <c r="E22" s="180">
        <f>B22*F12</f>
        <v>55702.917771883287</v>
      </c>
      <c r="G22" s="44"/>
    </row>
    <row r="23" spans="1:7" ht="15.75" x14ac:dyDescent="0.25">
      <c r="A23" s="16" t="s">
        <v>49</v>
      </c>
      <c r="B23" s="14">
        <v>5.0000000000000001E-3</v>
      </c>
      <c r="C23" t="s">
        <v>161</v>
      </c>
      <c r="D23" s="44"/>
      <c r="E23" s="180">
        <f>B23*F12</f>
        <v>278.51458885941645</v>
      </c>
    </row>
    <row r="24" spans="1:7" x14ac:dyDescent="0.25">
      <c r="D24" s="44"/>
    </row>
    <row r="25" spans="1:7" x14ac:dyDescent="0.25">
      <c r="A25" s="12" t="s">
        <v>51</v>
      </c>
      <c r="B25" s="1"/>
      <c r="C25" s="1"/>
    </row>
    <row r="26" spans="1:7" x14ac:dyDescent="0.25">
      <c r="A26" s="12"/>
      <c r="B26" s="1"/>
      <c r="C26" s="1"/>
    </row>
    <row r="27" spans="1:7" x14ac:dyDescent="0.25">
      <c r="A27" s="12"/>
      <c r="B27" s="1"/>
      <c r="C27" s="1"/>
    </row>
    <row r="28" spans="1:7" x14ac:dyDescent="0.25">
      <c r="A28" s="12"/>
      <c r="B28" s="1"/>
      <c r="C28" s="1"/>
    </row>
    <row r="29" spans="1:7" x14ac:dyDescent="0.25">
      <c r="A29" s="12"/>
      <c r="B29" s="1"/>
      <c r="C29" s="1"/>
    </row>
    <row r="30" spans="1:7" x14ac:dyDescent="0.25">
      <c r="A30" s="12"/>
      <c r="B30" s="1"/>
      <c r="C30" s="1"/>
    </row>
    <row r="31" spans="1:7" x14ac:dyDescent="0.25">
      <c r="A31" s="12"/>
      <c r="B31" s="1"/>
      <c r="C31" s="1"/>
    </row>
    <row r="33" spans="1:4" ht="15.75" x14ac:dyDescent="0.25">
      <c r="A33" s="124" t="s">
        <v>233</v>
      </c>
      <c r="B33" s="124" t="s">
        <v>233</v>
      </c>
      <c r="C33" s="124"/>
      <c r="D33" s="125" t="s">
        <v>234</v>
      </c>
    </row>
    <row r="34" spans="1:4" ht="15.75" x14ac:dyDescent="0.25">
      <c r="A34" s="122" t="s">
        <v>235</v>
      </c>
      <c r="B34" s="122" t="s">
        <v>236</v>
      </c>
      <c r="C34" s="122"/>
      <c r="D34" s="123" t="s">
        <v>237</v>
      </c>
    </row>
    <row r="35" spans="1:4" ht="15.75" x14ac:dyDescent="0.25">
      <c r="A35" s="122" t="s">
        <v>238</v>
      </c>
      <c r="B35" s="122" t="s">
        <v>239</v>
      </c>
      <c r="C35" s="122"/>
      <c r="D35" s="123" t="s">
        <v>240</v>
      </c>
    </row>
    <row r="36" spans="1:4" x14ac:dyDescent="0.25">
      <c r="A36" s="121"/>
      <c r="B36" s="121"/>
      <c r="C36" s="121"/>
    </row>
    <row r="37" spans="1:4" x14ac:dyDescent="0.25">
      <c r="A37" s="121"/>
      <c r="B37" s="121"/>
      <c r="C37" s="121"/>
    </row>
    <row r="38" spans="1:4" x14ac:dyDescent="0.25">
      <c r="A38" s="121"/>
      <c r="B38" s="121"/>
      <c r="C38" s="121"/>
    </row>
    <row r="39" spans="1:4" x14ac:dyDescent="0.25">
      <c r="A39" s="121"/>
      <c r="B39" s="121"/>
      <c r="C39" s="121"/>
    </row>
    <row r="40" spans="1:4" x14ac:dyDescent="0.25">
      <c r="A40" s="121"/>
      <c r="B40" s="121"/>
      <c r="C40" s="121"/>
    </row>
    <row r="41" spans="1:4" x14ac:dyDescent="0.25">
      <c r="A41" s="121"/>
      <c r="B41" s="121"/>
      <c r="C41" s="12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H36"/>
  <sheetViews>
    <sheetView workbookViewId="0">
      <selection activeCell="C12" sqref="C12"/>
    </sheetView>
  </sheetViews>
  <sheetFormatPr baseColWidth="10" defaultRowHeight="15" x14ac:dyDescent="0.25"/>
  <cols>
    <col min="1" max="1" width="27.5703125" customWidth="1"/>
    <col min="2" max="2" width="38.7109375" customWidth="1"/>
    <col min="3" max="3" width="12.5703125" customWidth="1"/>
    <col min="4" max="4" width="12.5703125" style="162" customWidth="1"/>
  </cols>
  <sheetData>
    <row r="2" spans="1:8" ht="20.25" x14ac:dyDescent="0.3">
      <c r="A2" s="2"/>
      <c r="B2" s="4" t="s">
        <v>0</v>
      </c>
      <c r="C2" s="2"/>
      <c r="D2" s="2"/>
    </row>
    <row r="3" spans="1:8" ht="15.75" x14ac:dyDescent="0.25">
      <c r="A3" s="2"/>
      <c r="B3" s="2"/>
      <c r="C3" s="2"/>
      <c r="D3" s="2"/>
    </row>
    <row r="4" spans="1:8" ht="20.25" x14ac:dyDescent="0.3">
      <c r="A4" s="1"/>
      <c r="B4" s="4" t="s">
        <v>52</v>
      </c>
      <c r="C4" s="2"/>
      <c r="D4" s="2"/>
    </row>
    <row r="5" spans="1:8" ht="20.25" x14ac:dyDescent="0.3">
      <c r="A5" s="4"/>
      <c r="B5" s="2"/>
      <c r="C5" s="2"/>
      <c r="D5" s="2"/>
    </row>
    <row r="6" spans="1:8" ht="15.75" x14ac:dyDescent="0.25">
      <c r="A6" s="3" t="s">
        <v>53</v>
      </c>
      <c r="B6" s="3" t="s">
        <v>29</v>
      </c>
      <c r="C6" s="5"/>
      <c r="D6" s="5"/>
    </row>
    <row r="7" spans="1:8" ht="15.75" x14ac:dyDescent="0.25">
      <c r="A7" s="3" t="s">
        <v>2</v>
      </c>
      <c r="B7" s="3" t="s">
        <v>54</v>
      </c>
      <c r="C7" s="5"/>
      <c r="D7" s="5"/>
    </row>
    <row r="8" spans="1:8" ht="16.5" thickBot="1" x14ac:dyDescent="0.3">
      <c r="A8" s="3" t="s">
        <v>4</v>
      </c>
      <c r="B8" s="3" t="s">
        <v>55</v>
      </c>
      <c r="C8" s="5"/>
      <c r="D8" s="5"/>
    </row>
    <row r="9" spans="1:8" ht="15.75" x14ac:dyDescent="0.25">
      <c r="A9" s="3" t="s">
        <v>5</v>
      </c>
      <c r="B9" s="3" t="s">
        <v>40</v>
      </c>
      <c r="C9" s="5"/>
      <c r="D9" s="5"/>
      <c r="F9" s="29" t="s">
        <v>230</v>
      </c>
      <c r="G9" s="127"/>
      <c r="H9" s="83"/>
    </row>
    <row r="10" spans="1:8" ht="15.75" x14ac:dyDescent="0.25">
      <c r="A10" s="3" t="s">
        <v>6</v>
      </c>
      <c r="B10" s="3" t="s">
        <v>56</v>
      </c>
      <c r="C10" s="5"/>
      <c r="D10" s="5"/>
      <c r="F10" s="12" t="s">
        <v>158</v>
      </c>
      <c r="G10" s="17">
        <v>0</v>
      </c>
      <c r="H10" s="12"/>
    </row>
    <row r="11" spans="1:8" ht="15.75" x14ac:dyDescent="0.25">
      <c r="A11" s="3" t="s">
        <v>8</v>
      </c>
      <c r="B11" s="3"/>
      <c r="C11" s="5"/>
      <c r="D11" s="5"/>
      <c r="E11" s="44" t="s">
        <v>274</v>
      </c>
      <c r="F11" s="12" t="s">
        <v>160</v>
      </c>
      <c r="G11" s="12">
        <f>G10*1000/5.655</f>
        <v>0</v>
      </c>
      <c r="H11" s="12"/>
    </row>
    <row r="12" spans="1:8" ht="15.75" x14ac:dyDescent="0.25">
      <c r="A12" s="332" t="s">
        <v>9</v>
      </c>
      <c r="B12" s="18" t="s">
        <v>57</v>
      </c>
      <c r="C12" s="13">
        <v>3.3300000000000001E-3</v>
      </c>
      <c r="D12" t="s">
        <v>190</v>
      </c>
      <c r="E12" s="162" t="s">
        <v>390</v>
      </c>
      <c r="F12" s="335" t="s">
        <v>232</v>
      </c>
      <c r="G12" s="336"/>
      <c r="H12" s="337"/>
    </row>
    <row r="13" spans="1:8" ht="15.75" x14ac:dyDescent="0.25">
      <c r="A13" s="333"/>
      <c r="B13" s="18" t="s">
        <v>47</v>
      </c>
      <c r="C13" s="13">
        <v>5.718E-3</v>
      </c>
      <c r="D13" t="s">
        <v>190</v>
      </c>
      <c r="E13" s="44"/>
      <c r="F13" s="335"/>
      <c r="G13" s="336"/>
      <c r="H13" s="337"/>
    </row>
    <row r="14" spans="1:8" ht="15.75" x14ac:dyDescent="0.25">
      <c r="A14" s="333"/>
      <c r="B14" s="18" t="s">
        <v>48</v>
      </c>
      <c r="C14" s="13">
        <v>1.4339999999999999E-3</v>
      </c>
      <c r="D14" t="s">
        <v>190</v>
      </c>
      <c r="E14" s="44"/>
      <c r="F14" s="335"/>
      <c r="G14" s="336"/>
      <c r="H14" s="337"/>
    </row>
    <row r="15" spans="1:8" ht="15.75" x14ac:dyDescent="0.25">
      <c r="A15" s="333"/>
      <c r="B15" s="18" t="s">
        <v>12</v>
      </c>
      <c r="C15" s="13">
        <v>1</v>
      </c>
      <c r="D15" t="s">
        <v>161</v>
      </c>
      <c r="E15" s="44"/>
      <c r="F15" s="335"/>
      <c r="G15" s="336"/>
      <c r="H15" s="337"/>
    </row>
    <row r="16" spans="1:8" ht="15.75" x14ac:dyDescent="0.25">
      <c r="A16" s="333"/>
      <c r="B16" s="18" t="s">
        <v>13</v>
      </c>
      <c r="C16" s="13">
        <v>1</v>
      </c>
      <c r="D16" t="s">
        <v>161</v>
      </c>
      <c r="E16" s="44"/>
      <c r="F16" s="335"/>
      <c r="G16" s="336"/>
      <c r="H16" s="337"/>
    </row>
    <row r="17" spans="1:8" ht="15.75" x14ac:dyDescent="0.25">
      <c r="A17" s="333"/>
      <c r="B17" s="18" t="s">
        <v>14</v>
      </c>
      <c r="C17" s="13">
        <v>1</v>
      </c>
      <c r="D17" t="s">
        <v>161</v>
      </c>
      <c r="E17" s="44"/>
      <c r="F17" s="335"/>
      <c r="G17" s="336"/>
      <c r="H17" s="337"/>
    </row>
    <row r="18" spans="1:8" x14ac:dyDescent="0.25">
      <c r="A18" s="334"/>
      <c r="B18" s="19" t="s">
        <v>49</v>
      </c>
      <c r="C18" s="20">
        <v>5.0000000000000001E-3</v>
      </c>
      <c r="D18" t="s">
        <v>161</v>
      </c>
      <c r="E18" s="44"/>
      <c r="F18" s="335"/>
      <c r="G18" s="336"/>
      <c r="H18" s="337"/>
    </row>
    <row r="19" spans="1:8" x14ac:dyDescent="0.25">
      <c r="F19" s="338"/>
      <c r="G19" s="339"/>
      <c r="H19" s="340"/>
    </row>
    <row r="20" spans="1:8" x14ac:dyDescent="0.25">
      <c r="A20" s="12" t="s">
        <v>58</v>
      </c>
      <c r="B20" s="12"/>
      <c r="C20" s="1"/>
      <c r="D20" s="1"/>
      <c r="F20" s="86"/>
      <c r="H20" s="87"/>
    </row>
    <row r="21" spans="1:8" x14ac:dyDescent="0.25">
      <c r="A21" s="12" t="s">
        <v>59</v>
      </c>
      <c r="B21" s="12"/>
      <c r="C21" s="1"/>
      <c r="D21" s="1"/>
      <c r="F21" s="86"/>
      <c r="H21" s="87"/>
    </row>
    <row r="22" spans="1:8" x14ac:dyDescent="0.25">
      <c r="A22" s="12" t="s">
        <v>60</v>
      </c>
      <c r="B22" s="12"/>
      <c r="C22" s="1"/>
      <c r="D22" s="1"/>
      <c r="F22" s="86"/>
    </row>
    <row r="23" spans="1:8" x14ac:dyDescent="0.25">
      <c r="A23" s="12" t="s">
        <v>61</v>
      </c>
      <c r="B23" s="12"/>
      <c r="C23" s="1"/>
      <c r="D23" s="1"/>
    </row>
    <row r="24" spans="1:8" x14ac:dyDescent="0.25">
      <c r="A24" s="12" t="s">
        <v>62</v>
      </c>
      <c r="B24" s="12"/>
      <c r="C24" s="1"/>
      <c r="D24" s="1"/>
    </row>
    <row r="25" spans="1:8" x14ac:dyDescent="0.25">
      <c r="A25" s="12" t="s">
        <v>63</v>
      </c>
      <c r="B25" s="12"/>
      <c r="C25" s="1"/>
      <c r="D25" s="1"/>
    </row>
    <row r="26" spans="1:8" x14ac:dyDescent="0.25">
      <c r="A26" s="17" t="s">
        <v>64</v>
      </c>
      <c r="B26" s="12"/>
      <c r="C26" s="1"/>
      <c r="D26" s="1"/>
    </row>
    <row r="29" spans="1:8" ht="15.75" x14ac:dyDescent="0.25">
      <c r="A29" s="124" t="s">
        <v>233</v>
      </c>
      <c r="B29" s="124" t="s">
        <v>233</v>
      </c>
      <c r="C29" s="125" t="s">
        <v>234</v>
      </c>
      <c r="D29" s="125"/>
    </row>
    <row r="30" spans="1:8" ht="15.75" x14ac:dyDescent="0.25">
      <c r="A30" s="122" t="s">
        <v>235</v>
      </c>
      <c r="B30" s="122" t="s">
        <v>236</v>
      </c>
      <c r="C30" s="123" t="s">
        <v>237</v>
      </c>
      <c r="D30" s="123"/>
    </row>
    <row r="31" spans="1:8" ht="15.75" x14ac:dyDescent="0.25">
      <c r="A31" s="122" t="s">
        <v>238</v>
      </c>
      <c r="B31" s="122" t="s">
        <v>239</v>
      </c>
      <c r="C31" s="123" t="s">
        <v>240</v>
      </c>
      <c r="D31" s="123"/>
    </row>
    <row r="32" spans="1:8" x14ac:dyDescent="0.25">
      <c r="A32" s="119"/>
      <c r="B32" s="119"/>
    </row>
    <row r="33" spans="1:2" x14ac:dyDescent="0.25">
      <c r="A33" s="119"/>
      <c r="B33" s="119"/>
    </row>
    <row r="34" spans="1:2" x14ac:dyDescent="0.25">
      <c r="A34" s="119"/>
      <c r="B34" s="119"/>
    </row>
    <row r="35" spans="1:2" x14ac:dyDescent="0.25">
      <c r="A35" s="119"/>
      <c r="B35" s="119"/>
    </row>
    <row r="36" spans="1:2" x14ac:dyDescent="0.25">
      <c r="A36" s="119"/>
      <c r="B36" s="119"/>
    </row>
  </sheetData>
  <mergeCells count="2">
    <mergeCell ref="A12:A18"/>
    <mergeCell ref="F12:H1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3:H41"/>
  <sheetViews>
    <sheetView topLeftCell="A4" workbookViewId="0">
      <selection activeCell="E23" sqref="E23"/>
    </sheetView>
  </sheetViews>
  <sheetFormatPr baseColWidth="10" defaultRowHeight="15" x14ac:dyDescent="0.25"/>
  <cols>
    <col min="1" max="1" width="26.28515625" customWidth="1"/>
    <col min="2" max="2" width="36" customWidth="1"/>
    <col min="3" max="3" width="12.42578125" customWidth="1"/>
    <col min="4" max="4" width="12.42578125" style="162" customWidth="1"/>
  </cols>
  <sheetData>
    <row r="3" spans="1:8" ht="20.25" x14ac:dyDescent="0.3">
      <c r="A3" s="2"/>
      <c r="B3" s="4" t="s">
        <v>0</v>
      </c>
      <c r="C3" s="2"/>
      <c r="D3" s="2"/>
    </row>
    <row r="4" spans="1:8" ht="15.75" x14ac:dyDescent="0.25">
      <c r="A4" s="2"/>
      <c r="B4" s="2"/>
      <c r="C4" s="2"/>
      <c r="D4" s="2"/>
    </row>
    <row r="5" spans="1:8" ht="20.25" x14ac:dyDescent="0.3">
      <c r="A5" s="1"/>
      <c r="B5" s="4" t="s">
        <v>65</v>
      </c>
      <c r="C5" s="2"/>
      <c r="D5" s="2"/>
    </row>
    <row r="6" spans="1:8" ht="20.25" x14ac:dyDescent="0.3">
      <c r="A6" s="4"/>
      <c r="B6" s="2"/>
      <c r="C6" s="2"/>
      <c r="D6" s="2"/>
    </row>
    <row r="7" spans="1:8" ht="15.75" x14ac:dyDescent="0.25">
      <c r="A7" s="3" t="s">
        <v>53</v>
      </c>
      <c r="B7" s="3" t="s">
        <v>66</v>
      </c>
      <c r="C7" s="5"/>
      <c r="D7" s="5"/>
    </row>
    <row r="8" spans="1:8" ht="15.75" x14ac:dyDescent="0.25">
      <c r="A8" s="3" t="s">
        <v>2</v>
      </c>
      <c r="B8" s="3" t="s">
        <v>54</v>
      </c>
      <c r="C8" s="5"/>
      <c r="D8" s="5"/>
    </row>
    <row r="9" spans="1:8" ht="15.75" x14ac:dyDescent="0.25">
      <c r="A9" s="3" t="s">
        <v>4</v>
      </c>
      <c r="B9" s="3" t="s">
        <v>55</v>
      </c>
      <c r="C9" s="5"/>
      <c r="D9" s="5"/>
    </row>
    <row r="10" spans="1:8" ht="16.5" thickBot="1" x14ac:dyDescent="0.3">
      <c r="A10" s="3" t="s">
        <v>5</v>
      </c>
      <c r="B10" s="3" t="s">
        <v>67</v>
      </c>
      <c r="C10" s="5"/>
      <c r="D10" s="5"/>
    </row>
    <row r="11" spans="1:8" ht="16.5" thickBot="1" x14ac:dyDescent="0.3">
      <c r="A11" s="3" t="s">
        <v>6</v>
      </c>
      <c r="B11" s="3" t="s">
        <v>68</v>
      </c>
      <c r="C11" s="5"/>
      <c r="D11" s="5"/>
      <c r="F11" s="29" t="s">
        <v>230</v>
      </c>
      <c r="G11" s="28"/>
      <c r="H11" s="83"/>
    </row>
    <row r="12" spans="1:8" ht="15.75" x14ac:dyDescent="0.25">
      <c r="A12" s="3" t="s">
        <v>69</v>
      </c>
      <c r="B12" s="3" t="s">
        <v>70</v>
      </c>
      <c r="C12" s="5"/>
      <c r="D12" s="5"/>
      <c r="F12" s="12" t="s">
        <v>158</v>
      </c>
      <c r="G12" s="1">
        <v>195</v>
      </c>
      <c r="H12" s="12"/>
    </row>
    <row r="13" spans="1:8" ht="15.75" x14ac:dyDescent="0.25">
      <c r="A13" s="3" t="s">
        <v>8</v>
      </c>
      <c r="B13" s="3"/>
      <c r="C13" s="5"/>
      <c r="D13" s="5"/>
      <c r="E13" s="44" t="s">
        <v>274</v>
      </c>
      <c r="F13" s="12" t="s">
        <v>160</v>
      </c>
      <c r="G13" s="1">
        <f>G12*1000/3.9</f>
        <v>50000</v>
      </c>
      <c r="H13" s="12"/>
    </row>
    <row r="14" spans="1:8" ht="15.75" x14ac:dyDescent="0.25">
      <c r="A14" s="332" t="s">
        <v>9</v>
      </c>
      <c r="B14" s="18" t="s">
        <v>71</v>
      </c>
      <c r="C14" s="13">
        <v>7.5000000000000002E-4</v>
      </c>
      <c r="D14" s="49" t="s">
        <v>190</v>
      </c>
      <c r="E14" s="162" t="s">
        <v>391</v>
      </c>
      <c r="F14" s="30">
        <f>C14*G13</f>
        <v>37.5</v>
      </c>
      <c r="G14" s="32"/>
      <c r="H14" s="30"/>
    </row>
    <row r="15" spans="1:8" ht="15.75" x14ac:dyDescent="0.25">
      <c r="A15" s="333"/>
      <c r="B15" s="18" t="s">
        <v>72</v>
      </c>
      <c r="C15" s="13">
        <v>3.0000000000000001E-3</v>
      </c>
      <c r="D15" s="49" t="s">
        <v>190</v>
      </c>
      <c r="E15" s="162" t="s">
        <v>344</v>
      </c>
      <c r="F15" s="30">
        <f>C15*G13</f>
        <v>150</v>
      </c>
      <c r="G15" s="32"/>
      <c r="H15" s="30"/>
    </row>
    <row r="16" spans="1:8" ht="15.75" x14ac:dyDescent="0.25">
      <c r="A16" s="333"/>
      <c r="B16" s="18" t="s">
        <v>73</v>
      </c>
      <c r="C16" s="13">
        <v>1.3200000000000001E-4</v>
      </c>
      <c r="D16" s="49" t="s">
        <v>190</v>
      </c>
      <c r="E16" s="162" t="s">
        <v>345</v>
      </c>
      <c r="F16" s="30">
        <f>C16*G13</f>
        <v>6.6000000000000005</v>
      </c>
      <c r="G16" s="32"/>
      <c r="H16" s="30"/>
    </row>
    <row r="17" spans="1:8" ht="15.75" x14ac:dyDescent="0.25">
      <c r="A17" s="333"/>
      <c r="B17" s="18" t="s">
        <v>74</v>
      </c>
      <c r="C17" s="13">
        <v>1.8E-5</v>
      </c>
      <c r="D17" s="49" t="s">
        <v>174</v>
      </c>
      <c r="E17" s="162" t="s">
        <v>285</v>
      </c>
      <c r="F17" s="30">
        <f>C17*G13</f>
        <v>0.9</v>
      </c>
      <c r="G17" s="32"/>
      <c r="H17" s="30"/>
    </row>
    <row r="18" spans="1:8" ht="15.75" x14ac:dyDescent="0.25">
      <c r="A18" s="333"/>
      <c r="B18" s="18" t="s">
        <v>47</v>
      </c>
      <c r="C18" s="13">
        <v>5.718E-3</v>
      </c>
      <c r="D18" s="49" t="s">
        <v>190</v>
      </c>
      <c r="E18" s="162" t="s">
        <v>315</v>
      </c>
      <c r="F18" s="31">
        <f>C18*G13</f>
        <v>285.89999999999998</v>
      </c>
      <c r="G18" s="33"/>
      <c r="H18" s="31"/>
    </row>
    <row r="19" spans="1:8" ht="15.75" x14ac:dyDescent="0.25">
      <c r="A19" s="333"/>
      <c r="B19" s="18" t="s">
        <v>48</v>
      </c>
      <c r="C19" s="13">
        <v>1.4339999999999999E-3</v>
      </c>
      <c r="D19" s="49" t="s">
        <v>190</v>
      </c>
      <c r="E19" s="162" t="s">
        <v>392</v>
      </c>
      <c r="F19" s="31">
        <f>C19*G13</f>
        <v>71.7</v>
      </c>
      <c r="G19" s="33"/>
      <c r="H19" s="31"/>
    </row>
    <row r="20" spans="1:8" ht="15.75" x14ac:dyDescent="0.25">
      <c r="A20" s="333"/>
      <c r="B20" s="18" t="s">
        <v>12</v>
      </c>
      <c r="C20" s="13">
        <v>1</v>
      </c>
      <c r="D20" t="s">
        <v>161</v>
      </c>
      <c r="E20" s="162" t="s">
        <v>393</v>
      </c>
      <c r="F20" s="31">
        <f>C20*G13</f>
        <v>50000</v>
      </c>
      <c r="G20" s="33"/>
      <c r="H20" s="31"/>
    </row>
    <row r="21" spans="1:8" ht="15.75" x14ac:dyDescent="0.25">
      <c r="A21" s="333"/>
      <c r="B21" s="18" t="s">
        <v>13</v>
      </c>
      <c r="C21" s="13">
        <v>1</v>
      </c>
      <c r="D21" t="s">
        <v>161</v>
      </c>
      <c r="E21" s="162">
        <v>327</v>
      </c>
      <c r="F21" s="31">
        <f>C21*G13</f>
        <v>50000</v>
      </c>
      <c r="G21" s="33"/>
      <c r="H21" s="31"/>
    </row>
    <row r="22" spans="1:8" ht="15.75" x14ac:dyDescent="0.25">
      <c r="A22" s="333"/>
      <c r="B22" s="18" t="s">
        <v>14</v>
      </c>
      <c r="C22" s="13">
        <v>1</v>
      </c>
      <c r="D22" t="s">
        <v>161</v>
      </c>
      <c r="E22" s="162" t="s">
        <v>276</v>
      </c>
      <c r="F22" s="84">
        <f>C22*G13</f>
        <v>50000</v>
      </c>
      <c r="H22" s="44"/>
    </row>
    <row r="23" spans="1:8" ht="15.75" x14ac:dyDescent="0.25">
      <c r="A23" s="334"/>
      <c r="B23" s="21" t="s">
        <v>75</v>
      </c>
      <c r="C23" s="14">
        <v>0.01</v>
      </c>
      <c r="D23" t="s">
        <v>161</v>
      </c>
      <c r="E23" s="44">
        <v>419</v>
      </c>
      <c r="F23" s="88">
        <f>C23*G13</f>
        <v>500</v>
      </c>
      <c r="H23" s="44"/>
    </row>
    <row r="24" spans="1:8" x14ac:dyDescent="0.25">
      <c r="F24" s="89"/>
    </row>
    <row r="25" spans="1:8" x14ac:dyDescent="0.25">
      <c r="A25" s="12" t="s">
        <v>58</v>
      </c>
      <c r="B25" s="20" t="s">
        <v>76</v>
      </c>
      <c r="C25" s="1"/>
      <c r="D25" s="1"/>
    </row>
    <row r="26" spans="1:8" x14ac:dyDescent="0.25">
      <c r="A26" s="12" t="s">
        <v>59</v>
      </c>
      <c r="B26" s="20" t="s">
        <v>77</v>
      </c>
      <c r="C26" s="1"/>
      <c r="D26" s="1"/>
    </row>
    <row r="27" spans="1:8" x14ac:dyDescent="0.25">
      <c r="A27" s="12" t="s">
        <v>60</v>
      </c>
      <c r="B27" s="20" t="s">
        <v>78</v>
      </c>
      <c r="C27" s="1"/>
      <c r="D27" s="1"/>
    </row>
    <row r="28" spans="1:8" x14ac:dyDescent="0.25">
      <c r="A28" s="12" t="s">
        <v>61</v>
      </c>
      <c r="B28" s="20"/>
      <c r="C28" s="1"/>
      <c r="D28" s="1"/>
    </row>
    <row r="29" spans="1:8" x14ac:dyDescent="0.25">
      <c r="A29" s="12" t="s">
        <v>62</v>
      </c>
      <c r="B29" s="20"/>
      <c r="C29" s="1"/>
      <c r="D29" s="1"/>
    </row>
    <row r="30" spans="1:8" x14ac:dyDescent="0.25">
      <c r="A30" s="12" t="s">
        <v>63</v>
      </c>
      <c r="B30" s="20"/>
      <c r="C30" s="1"/>
      <c r="D30" s="1"/>
    </row>
    <row r="31" spans="1:8" x14ac:dyDescent="0.25">
      <c r="A31" s="17" t="s">
        <v>64</v>
      </c>
      <c r="B31" s="20"/>
      <c r="C31" s="1"/>
      <c r="D31" s="1"/>
    </row>
    <row r="34" spans="1:4" ht="15.75" x14ac:dyDescent="0.25">
      <c r="A34" s="124" t="s">
        <v>233</v>
      </c>
      <c r="B34" s="124" t="s">
        <v>233</v>
      </c>
      <c r="C34" s="125" t="s">
        <v>234</v>
      </c>
      <c r="D34" s="125"/>
    </row>
    <row r="35" spans="1:4" ht="15.75" x14ac:dyDescent="0.25">
      <c r="A35" s="122" t="s">
        <v>235</v>
      </c>
      <c r="B35" s="122" t="s">
        <v>236</v>
      </c>
      <c r="C35" s="123" t="s">
        <v>237</v>
      </c>
      <c r="D35" s="123"/>
    </row>
    <row r="36" spans="1:4" ht="15.75" x14ac:dyDescent="0.25">
      <c r="A36" s="122" t="s">
        <v>238</v>
      </c>
      <c r="B36" s="122" t="s">
        <v>239</v>
      </c>
      <c r="C36" s="123" t="s">
        <v>240</v>
      </c>
      <c r="D36" s="123"/>
    </row>
    <row r="37" spans="1:4" x14ac:dyDescent="0.25">
      <c r="A37" s="121"/>
      <c r="B37" s="121"/>
      <c r="C37" s="120"/>
    </row>
    <row r="38" spans="1:4" x14ac:dyDescent="0.25">
      <c r="A38" s="121"/>
      <c r="B38" s="121"/>
    </row>
    <row r="39" spans="1:4" x14ac:dyDescent="0.25">
      <c r="A39" s="121"/>
      <c r="B39" s="121"/>
    </row>
    <row r="40" spans="1:4" x14ac:dyDescent="0.25">
      <c r="A40" s="121"/>
      <c r="B40" s="121"/>
    </row>
    <row r="41" spans="1:4" x14ac:dyDescent="0.25">
      <c r="A41" s="121"/>
      <c r="B41" s="121"/>
    </row>
  </sheetData>
  <mergeCells count="1">
    <mergeCell ref="A14:A2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3:H41"/>
  <sheetViews>
    <sheetView topLeftCell="A7" workbookViewId="0">
      <selection activeCell="C14" sqref="C14"/>
    </sheetView>
  </sheetViews>
  <sheetFormatPr baseColWidth="10" defaultRowHeight="15" x14ac:dyDescent="0.25"/>
  <cols>
    <col min="1" max="1" width="27.140625" customWidth="1"/>
    <col min="2" max="2" width="36.42578125" customWidth="1"/>
    <col min="3" max="3" width="12.42578125" customWidth="1"/>
    <col min="4" max="4" width="12.42578125" style="162" customWidth="1"/>
  </cols>
  <sheetData>
    <row r="3" spans="1:8" ht="20.25" x14ac:dyDescent="0.3">
      <c r="A3" s="2"/>
      <c r="B3" s="4" t="s">
        <v>0</v>
      </c>
      <c r="C3" s="2"/>
      <c r="D3" s="2"/>
    </row>
    <row r="4" spans="1:8" ht="15.75" x14ac:dyDescent="0.25">
      <c r="A4" s="2"/>
      <c r="B4" s="2"/>
      <c r="C4" s="2"/>
      <c r="D4" s="2"/>
    </row>
    <row r="5" spans="1:8" ht="20.25" x14ac:dyDescent="0.3">
      <c r="A5" s="4" t="s">
        <v>241</v>
      </c>
      <c r="B5" s="2"/>
      <c r="C5" s="2"/>
      <c r="D5" s="2"/>
    </row>
    <row r="6" spans="1:8" ht="20.25" x14ac:dyDescent="0.3">
      <c r="A6" s="4"/>
      <c r="B6" s="2"/>
      <c r="C6" s="2"/>
      <c r="D6" s="2"/>
    </row>
    <row r="7" spans="1:8" ht="15.75" x14ac:dyDescent="0.25">
      <c r="A7" s="3" t="s">
        <v>53</v>
      </c>
      <c r="B7" s="3" t="s">
        <v>79</v>
      </c>
      <c r="C7" s="5"/>
      <c r="D7" s="5"/>
    </row>
    <row r="8" spans="1:8" ht="15.75" x14ac:dyDescent="0.25">
      <c r="A8" s="3" t="s">
        <v>2</v>
      </c>
      <c r="B8" s="3" t="s">
        <v>54</v>
      </c>
      <c r="C8" s="5"/>
      <c r="D8" s="5"/>
    </row>
    <row r="9" spans="1:8" ht="15.75" x14ac:dyDescent="0.25">
      <c r="A9" s="3" t="s">
        <v>4</v>
      </c>
      <c r="B9" s="3" t="s">
        <v>55</v>
      </c>
      <c r="C9" s="5"/>
      <c r="D9" s="5"/>
    </row>
    <row r="10" spans="1:8" ht="16.5" thickBot="1" x14ac:dyDescent="0.3">
      <c r="A10" s="3" t="s">
        <v>5</v>
      </c>
      <c r="B10" s="3" t="s">
        <v>40</v>
      </c>
      <c r="C10" s="5"/>
      <c r="D10" s="5"/>
    </row>
    <row r="11" spans="1:8" ht="16.5" thickBot="1" x14ac:dyDescent="0.3">
      <c r="A11" s="3" t="s">
        <v>6</v>
      </c>
      <c r="B11" s="3" t="s">
        <v>68</v>
      </c>
      <c r="C11" s="5"/>
      <c r="D11" s="5"/>
      <c r="F11" s="29" t="s">
        <v>230</v>
      </c>
      <c r="G11" s="28"/>
      <c r="H11" s="83"/>
    </row>
    <row r="12" spans="1:8" ht="15.75" x14ac:dyDescent="0.25">
      <c r="A12" s="3" t="s">
        <v>69</v>
      </c>
      <c r="B12" s="3" t="s">
        <v>70</v>
      </c>
      <c r="C12" s="5"/>
      <c r="D12" s="5"/>
      <c r="F12" s="12" t="s">
        <v>158</v>
      </c>
      <c r="G12" s="1">
        <v>175</v>
      </c>
      <c r="H12" s="12"/>
    </row>
    <row r="13" spans="1:8" ht="15.75" x14ac:dyDescent="0.25">
      <c r="A13" s="3" t="s">
        <v>8</v>
      </c>
      <c r="B13" s="3"/>
      <c r="C13" s="5"/>
      <c r="D13" s="5"/>
      <c r="E13" s="44" t="s">
        <v>274</v>
      </c>
      <c r="F13" s="12" t="s">
        <v>160</v>
      </c>
      <c r="G13" s="1">
        <f>G12*1000/4.8</f>
        <v>36458.333333333336</v>
      </c>
      <c r="H13" s="12"/>
    </row>
    <row r="14" spans="1:8" ht="15.75" x14ac:dyDescent="0.25">
      <c r="A14" s="332" t="s">
        <v>9</v>
      </c>
      <c r="B14" s="18" t="s">
        <v>71</v>
      </c>
      <c r="C14" s="13">
        <v>1.5E-3</v>
      </c>
      <c r="D14" s="49" t="s">
        <v>190</v>
      </c>
      <c r="E14" s="44" t="s">
        <v>391</v>
      </c>
      <c r="F14" s="30">
        <f>C14*G13</f>
        <v>54.687500000000007</v>
      </c>
      <c r="G14" s="32"/>
      <c r="H14" s="30"/>
    </row>
    <row r="15" spans="1:8" ht="15.75" x14ac:dyDescent="0.25">
      <c r="A15" s="333"/>
      <c r="B15" s="18" t="s">
        <v>72</v>
      </c>
      <c r="C15" s="13">
        <v>3.15E-3</v>
      </c>
      <c r="D15" s="49" t="s">
        <v>190</v>
      </c>
      <c r="E15" s="44" t="s">
        <v>344</v>
      </c>
      <c r="F15" s="30">
        <f>C15*G13</f>
        <v>114.84375000000001</v>
      </c>
      <c r="G15" s="32"/>
      <c r="H15" s="30"/>
    </row>
    <row r="16" spans="1:8" ht="15.75" x14ac:dyDescent="0.25">
      <c r="A16" s="333"/>
      <c r="B16" s="18" t="s">
        <v>73</v>
      </c>
      <c r="C16" s="13">
        <v>1.35E-4</v>
      </c>
      <c r="D16" s="49" t="s">
        <v>190</v>
      </c>
      <c r="E16" s="44" t="s">
        <v>345</v>
      </c>
      <c r="F16" s="30">
        <f>C16*G13</f>
        <v>4.921875</v>
      </c>
      <c r="G16" s="32"/>
      <c r="H16" s="30"/>
    </row>
    <row r="17" spans="1:8" ht="15.75" x14ac:dyDescent="0.25">
      <c r="A17" s="333"/>
      <c r="B17" s="18" t="s">
        <v>74</v>
      </c>
      <c r="C17" s="13">
        <v>1.5E-5</v>
      </c>
      <c r="D17" s="49" t="s">
        <v>174</v>
      </c>
      <c r="E17" s="44" t="s">
        <v>285</v>
      </c>
      <c r="F17" s="30">
        <f>C17*G13</f>
        <v>0.546875</v>
      </c>
      <c r="G17" s="32"/>
      <c r="H17" s="30"/>
    </row>
    <row r="18" spans="1:8" ht="15.75" x14ac:dyDescent="0.25">
      <c r="A18" s="333"/>
      <c r="B18" s="18" t="s">
        <v>47</v>
      </c>
      <c r="C18" s="13">
        <v>5.718E-3</v>
      </c>
      <c r="D18" s="49" t="s">
        <v>190</v>
      </c>
      <c r="E18" s="44" t="s">
        <v>315</v>
      </c>
      <c r="F18" s="31">
        <f>C18*G13</f>
        <v>208.46875</v>
      </c>
      <c r="G18" s="33"/>
      <c r="H18" s="31"/>
    </row>
    <row r="19" spans="1:8" ht="15.75" x14ac:dyDescent="0.25">
      <c r="A19" s="333"/>
      <c r="B19" s="18" t="s">
        <v>48</v>
      </c>
      <c r="C19" s="13">
        <v>1.4339999999999999E-3</v>
      </c>
      <c r="D19" s="49" t="s">
        <v>190</v>
      </c>
      <c r="E19" s="44" t="s">
        <v>394</v>
      </c>
      <c r="F19" s="31">
        <f>C19*G13</f>
        <v>52.28125</v>
      </c>
      <c r="G19" s="33"/>
      <c r="H19" s="31"/>
    </row>
    <row r="20" spans="1:8" ht="15.75" x14ac:dyDescent="0.25">
      <c r="A20" s="333"/>
      <c r="B20" s="18" t="s">
        <v>12</v>
      </c>
      <c r="C20" s="13">
        <v>1</v>
      </c>
      <c r="D20" t="s">
        <v>161</v>
      </c>
      <c r="E20" s="44">
        <v>244</v>
      </c>
      <c r="F20" s="31">
        <f>C20*G13</f>
        <v>36458.333333333336</v>
      </c>
      <c r="G20" s="33"/>
      <c r="H20" s="31"/>
    </row>
    <row r="21" spans="1:8" ht="15.75" x14ac:dyDescent="0.25">
      <c r="A21" s="333"/>
      <c r="B21" s="18" t="s">
        <v>13</v>
      </c>
      <c r="C21" s="13">
        <v>1</v>
      </c>
      <c r="D21" t="s">
        <v>161</v>
      </c>
      <c r="E21" s="44">
        <v>327</v>
      </c>
      <c r="F21" s="31">
        <f>C21*G13</f>
        <v>36458.333333333336</v>
      </c>
      <c r="G21" s="33"/>
      <c r="H21" s="31"/>
    </row>
    <row r="22" spans="1:8" ht="15.75" x14ac:dyDescent="0.25">
      <c r="A22" s="333"/>
      <c r="B22" s="18" t="s">
        <v>14</v>
      </c>
      <c r="C22" s="13">
        <v>1</v>
      </c>
      <c r="D22" t="s">
        <v>161</v>
      </c>
      <c r="E22" s="44" t="s">
        <v>276</v>
      </c>
      <c r="F22" s="84">
        <f>C22*G13</f>
        <v>36458.333333333336</v>
      </c>
      <c r="H22" s="44"/>
    </row>
    <row r="23" spans="1:8" ht="15.75" x14ac:dyDescent="0.25">
      <c r="A23" s="334"/>
      <c r="B23" s="21" t="s">
        <v>75</v>
      </c>
      <c r="C23" s="110">
        <v>0.01</v>
      </c>
      <c r="D23" t="s">
        <v>161</v>
      </c>
      <c r="E23" s="44">
        <v>419</v>
      </c>
      <c r="F23" s="84">
        <f>C23*G13</f>
        <v>364.58333333333337</v>
      </c>
      <c r="H23" s="44"/>
    </row>
    <row r="25" spans="1:8" x14ac:dyDescent="0.25">
      <c r="A25" s="12" t="s">
        <v>58</v>
      </c>
      <c r="B25" s="12"/>
      <c r="C25" s="1"/>
      <c r="D25" s="1"/>
    </row>
    <row r="26" spans="1:8" x14ac:dyDescent="0.25">
      <c r="A26" s="12" t="s">
        <v>59</v>
      </c>
      <c r="B26" s="12"/>
      <c r="C26" s="1"/>
      <c r="D26" s="1"/>
    </row>
    <row r="27" spans="1:8" x14ac:dyDescent="0.25">
      <c r="A27" s="12" t="s">
        <v>60</v>
      </c>
      <c r="B27" s="12"/>
      <c r="C27" s="1"/>
      <c r="D27" s="1"/>
    </row>
    <row r="28" spans="1:8" x14ac:dyDescent="0.25">
      <c r="A28" s="12" t="s">
        <v>61</v>
      </c>
      <c r="B28" s="12"/>
      <c r="C28" s="1"/>
      <c r="D28" s="1"/>
    </row>
    <row r="29" spans="1:8" x14ac:dyDescent="0.25">
      <c r="A29" s="12" t="s">
        <v>62</v>
      </c>
      <c r="B29" s="12"/>
      <c r="C29" s="1"/>
      <c r="D29" s="1"/>
    </row>
    <row r="30" spans="1:8" x14ac:dyDescent="0.25">
      <c r="A30" s="12" t="s">
        <v>63</v>
      </c>
      <c r="B30" s="12"/>
      <c r="C30" s="1"/>
      <c r="D30" s="1"/>
    </row>
    <row r="31" spans="1:8" x14ac:dyDescent="0.25">
      <c r="A31" s="17" t="s">
        <v>64</v>
      </c>
      <c r="B31" s="12"/>
      <c r="C31" s="1"/>
      <c r="D31" s="1"/>
    </row>
    <row r="34" spans="1:4" ht="15.75" x14ac:dyDescent="0.25">
      <c r="A34" s="124" t="s">
        <v>233</v>
      </c>
      <c r="B34" s="124" t="s">
        <v>233</v>
      </c>
      <c r="C34" s="125" t="s">
        <v>234</v>
      </c>
      <c r="D34" s="125"/>
    </row>
    <row r="35" spans="1:4" ht="15.75" x14ac:dyDescent="0.25">
      <c r="A35" s="122" t="s">
        <v>235</v>
      </c>
      <c r="B35" s="122" t="s">
        <v>236</v>
      </c>
      <c r="C35" s="123" t="s">
        <v>237</v>
      </c>
      <c r="D35" s="123"/>
    </row>
    <row r="36" spans="1:4" ht="15.75" x14ac:dyDescent="0.25">
      <c r="A36" s="122" t="s">
        <v>238</v>
      </c>
      <c r="B36" s="122" t="s">
        <v>239</v>
      </c>
      <c r="C36" s="123" t="s">
        <v>240</v>
      </c>
      <c r="D36" s="123"/>
    </row>
    <row r="37" spans="1:4" x14ac:dyDescent="0.25">
      <c r="A37" s="121"/>
      <c r="B37" s="121"/>
    </row>
    <row r="38" spans="1:4" x14ac:dyDescent="0.25">
      <c r="A38" s="121"/>
      <c r="B38" s="121"/>
    </row>
    <row r="39" spans="1:4" x14ac:dyDescent="0.25">
      <c r="A39" s="121"/>
      <c r="B39" s="121"/>
    </row>
    <row r="40" spans="1:4" x14ac:dyDescent="0.25">
      <c r="A40" s="121"/>
      <c r="B40" s="121"/>
    </row>
    <row r="41" spans="1:4" x14ac:dyDescent="0.25">
      <c r="A41" s="121"/>
      <c r="B41" s="121"/>
    </row>
  </sheetData>
  <mergeCells count="1">
    <mergeCell ref="A14:A23"/>
  </mergeCells>
  <pageMargins left="0.7" right="0.7" top="0.75" bottom="0.75" header="0.3" footer="0.3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H31"/>
  <sheetViews>
    <sheetView topLeftCell="A7" workbookViewId="0">
      <selection activeCell="C13" sqref="C13"/>
    </sheetView>
  </sheetViews>
  <sheetFormatPr baseColWidth="10" defaultRowHeight="15" x14ac:dyDescent="0.25"/>
  <cols>
    <col min="1" max="1" width="25.28515625" customWidth="1"/>
    <col min="2" max="2" width="38" customWidth="1"/>
    <col min="3" max="3" width="13.5703125" customWidth="1"/>
    <col min="4" max="4" width="3.85546875" style="162" customWidth="1"/>
  </cols>
  <sheetData>
    <row r="1" spans="1:8" x14ac:dyDescent="0.25">
      <c r="A1" t="s">
        <v>431</v>
      </c>
    </row>
    <row r="3" spans="1:8" ht="20.25" x14ac:dyDescent="0.3">
      <c r="A3" s="2"/>
      <c r="B3" s="4" t="s">
        <v>0</v>
      </c>
      <c r="C3" s="2"/>
      <c r="D3" s="2"/>
    </row>
    <row r="4" spans="1:8" ht="15.75" x14ac:dyDescent="0.25">
      <c r="A4" s="2"/>
      <c r="B4" s="2"/>
      <c r="C4" s="2"/>
      <c r="D4" s="2"/>
    </row>
    <row r="5" spans="1:8" ht="20.25" x14ac:dyDescent="0.3">
      <c r="A5" s="1"/>
      <c r="B5" s="4" t="s">
        <v>80</v>
      </c>
      <c r="C5" s="2"/>
      <c r="D5" s="2"/>
    </row>
    <row r="6" spans="1:8" ht="20.25" x14ac:dyDescent="0.3">
      <c r="A6" s="4"/>
      <c r="B6" s="2"/>
      <c r="C6" s="2"/>
      <c r="D6" s="2"/>
    </row>
    <row r="7" spans="1:8" ht="15.75" x14ac:dyDescent="0.25">
      <c r="A7" s="3" t="s">
        <v>1</v>
      </c>
      <c r="B7" s="3" t="s">
        <v>29</v>
      </c>
      <c r="C7" s="5"/>
      <c r="D7" s="5"/>
    </row>
    <row r="8" spans="1:8" ht="15.75" x14ac:dyDescent="0.25">
      <c r="A8" s="3" t="s">
        <v>2</v>
      </c>
      <c r="B8" s="3" t="s">
        <v>3</v>
      </c>
      <c r="C8" s="5"/>
      <c r="D8" s="5"/>
    </row>
    <row r="9" spans="1:8" ht="16.5" thickBot="1" x14ac:dyDescent="0.3">
      <c r="A9" s="3" t="s">
        <v>4</v>
      </c>
      <c r="B9" s="3" t="s">
        <v>30</v>
      </c>
      <c r="C9" s="5"/>
      <c r="D9" s="5"/>
    </row>
    <row r="10" spans="1:8" ht="15.75" x14ac:dyDescent="0.25">
      <c r="A10" s="3" t="s">
        <v>5</v>
      </c>
      <c r="B10" s="3" t="s">
        <v>31</v>
      </c>
      <c r="C10" s="5"/>
      <c r="D10" s="5"/>
      <c r="F10" s="29"/>
      <c r="G10" s="29" t="s">
        <v>156</v>
      </c>
      <c r="H10" s="83" t="s">
        <v>474</v>
      </c>
    </row>
    <row r="11" spans="1:8" ht="15.75" x14ac:dyDescent="0.25">
      <c r="A11" s="3" t="s">
        <v>6</v>
      </c>
      <c r="B11" s="3" t="s">
        <v>81</v>
      </c>
      <c r="C11" s="5"/>
      <c r="D11" s="5"/>
      <c r="F11" s="12" t="s">
        <v>158</v>
      </c>
      <c r="G11" s="1">
        <v>150</v>
      </c>
      <c r="H11" s="12">
        <v>260</v>
      </c>
    </row>
    <row r="12" spans="1:8" ht="16.5" thickBot="1" x14ac:dyDescent="0.3">
      <c r="A12" s="3" t="s">
        <v>8</v>
      </c>
      <c r="B12" s="3"/>
      <c r="C12" s="5"/>
      <c r="D12" s="5"/>
      <c r="E12" s="44" t="s">
        <v>274</v>
      </c>
      <c r="F12" s="12" t="s">
        <v>160</v>
      </c>
      <c r="G12" s="91">
        <f>G11*1000/10</f>
        <v>15000</v>
      </c>
      <c r="H12" s="17">
        <f>H11*1000/10</f>
        <v>26000</v>
      </c>
    </row>
    <row r="13" spans="1:8" ht="15.75" x14ac:dyDescent="0.25">
      <c r="A13" s="329" t="s">
        <v>9</v>
      </c>
      <c r="B13" s="11" t="s">
        <v>32</v>
      </c>
      <c r="C13" s="7">
        <v>8.9999999999999993E-3</v>
      </c>
      <c r="D13" t="s">
        <v>174</v>
      </c>
      <c r="E13" s="44" t="s">
        <v>289</v>
      </c>
      <c r="F13" s="30">
        <f>C13*G12</f>
        <v>135</v>
      </c>
      <c r="G13" s="32"/>
      <c r="H13" s="30">
        <f>C13*H12</f>
        <v>233.99999999999997</v>
      </c>
    </row>
    <row r="14" spans="1:8" ht="15.75" x14ac:dyDescent="0.25">
      <c r="A14" s="330"/>
      <c r="B14" s="6" t="s">
        <v>82</v>
      </c>
      <c r="C14" s="8">
        <v>1E-3</v>
      </c>
      <c r="D14" t="s">
        <v>174</v>
      </c>
      <c r="E14" s="44" t="s">
        <v>302</v>
      </c>
      <c r="F14" s="30">
        <f>C14*G12</f>
        <v>15</v>
      </c>
      <c r="G14" s="32"/>
      <c r="H14" s="30">
        <f>C14*$H$12</f>
        <v>26</v>
      </c>
    </row>
    <row r="15" spans="1:8" ht="15.75" x14ac:dyDescent="0.25">
      <c r="A15" s="330"/>
      <c r="B15" s="6" t="s">
        <v>10</v>
      </c>
      <c r="C15" s="8">
        <v>1.818E-3</v>
      </c>
      <c r="D15" t="s">
        <v>174</v>
      </c>
      <c r="E15" s="44" t="s">
        <v>291</v>
      </c>
      <c r="F15" s="30">
        <f>C15*G12</f>
        <v>27.27</v>
      </c>
      <c r="G15" s="32"/>
      <c r="H15" s="30">
        <f t="shared" ref="H15:H20" si="0">C15*$H$12</f>
        <v>47.268000000000001</v>
      </c>
    </row>
    <row r="16" spans="1:8" ht="15.75" x14ac:dyDescent="0.25">
      <c r="A16" s="330"/>
      <c r="B16" s="6" t="s">
        <v>11</v>
      </c>
      <c r="C16" s="8">
        <v>1.6559999999999999E-3</v>
      </c>
      <c r="D16" t="s">
        <v>174</v>
      </c>
      <c r="E16" s="44" t="s">
        <v>397</v>
      </c>
      <c r="F16" s="30">
        <f>C16*G12</f>
        <v>24.84</v>
      </c>
      <c r="G16" s="32"/>
      <c r="H16" s="30">
        <f t="shared" si="0"/>
        <v>43.055999999999997</v>
      </c>
    </row>
    <row r="17" spans="1:8" ht="15.75" x14ac:dyDescent="0.25">
      <c r="A17" s="330"/>
      <c r="B17" s="6" t="s">
        <v>12</v>
      </c>
      <c r="C17" s="8">
        <v>1</v>
      </c>
      <c r="D17" t="s">
        <v>161</v>
      </c>
      <c r="E17" s="44" t="s">
        <v>396</v>
      </c>
      <c r="F17" s="31">
        <f>C17*G12</f>
        <v>15000</v>
      </c>
      <c r="G17" s="33"/>
      <c r="H17" s="30">
        <f t="shared" si="0"/>
        <v>26000</v>
      </c>
    </row>
    <row r="18" spans="1:8" ht="15.75" x14ac:dyDescent="0.25">
      <c r="A18" s="330"/>
      <c r="B18" s="6" t="s">
        <v>13</v>
      </c>
      <c r="C18" s="8">
        <v>1</v>
      </c>
      <c r="D18" t="s">
        <v>161</v>
      </c>
      <c r="E18" s="44" t="s">
        <v>395</v>
      </c>
      <c r="F18" s="31">
        <f>C18*G12</f>
        <v>15000</v>
      </c>
      <c r="G18" s="33"/>
      <c r="H18" s="30">
        <f t="shared" si="0"/>
        <v>26000</v>
      </c>
    </row>
    <row r="19" spans="1:8" ht="15.75" x14ac:dyDescent="0.25">
      <c r="A19" s="330"/>
      <c r="B19" s="6" t="s">
        <v>14</v>
      </c>
      <c r="C19" s="8">
        <v>1</v>
      </c>
      <c r="D19" t="s">
        <v>161</v>
      </c>
      <c r="E19" s="44" t="s">
        <v>276</v>
      </c>
      <c r="F19" s="31">
        <f>C19*G12</f>
        <v>15000</v>
      </c>
      <c r="G19" s="33"/>
      <c r="H19" s="30">
        <f t="shared" si="0"/>
        <v>26000</v>
      </c>
    </row>
    <row r="20" spans="1:8" ht="15.75" thickBot="1" x14ac:dyDescent="0.3">
      <c r="A20" s="331"/>
      <c r="B20" s="23" t="s">
        <v>15</v>
      </c>
      <c r="C20" s="24">
        <v>0.01</v>
      </c>
      <c r="D20" t="s">
        <v>161</v>
      </c>
      <c r="E20" s="44" t="s">
        <v>281</v>
      </c>
      <c r="F20" s="85">
        <f>C20*G12</f>
        <v>150</v>
      </c>
      <c r="G20" s="33"/>
      <c r="H20" s="30">
        <f t="shared" si="0"/>
        <v>260</v>
      </c>
    </row>
    <row r="21" spans="1:8" x14ac:dyDescent="0.25">
      <c r="F21" s="89"/>
      <c r="H21" s="92"/>
    </row>
    <row r="23" spans="1:8" ht="15.75" x14ac:dyDescent="0.25">
      <c r="A23" s="124" t="s">
        <v>233</v>
      </c>
      <c r="B23" s="124" t="s">
        <v>233</v>
      </c>
      <c r="C23" s="125" t="s">
        <v>234</v>
      </c>
      <c r="D23" s="125"/>
    </row>
    <row r="24" spans="1:8" ht="15.75" x14ac:dyDescent="0.25">
      <c r="A24" s="122" t="s">
        <v>235</v>
      </c>
      <c r="B24" s="122" t="s">
        <v>236</v>
      </c>
      <c r="C24" s="123" t="s">
        <v>237</v>
      </c>
      <c r="D24" s="123"/>
    </row>
    <row r="25" spans="1:8" ht="15.75" x14ac:dyDescent="0.25">
      <c r="A25" s="122" t="s">
        <v>238</v>
      </c>
      <c r="B25" s="122" t="s">
        <v>239</v>
      </c>
      <c r="C25" s="123" t="s">
        <v>240</v>
      </c>
      <c r="D25" s="123"/>
    </row>
    <row r="26" spans="1:8" x14ac:dyDescent="0.25">
      <c r="A26" s="121"/>
      <c r="B26" s="121"/>
    </row>
    <row r="27" spans="1:8" x14ac:dyDescent="0.25">
      <c r="A27" s="121"/>
      <c r="B27" s="121"/>
    </row>
    <row r="28" spans="1:8" x14ac:dyDescent="0.25">
      <c r="A28" s="121"/>
      <c r="B28" s="121"/>
    </row>
    <row r="29" spans="1:8" x14ac:dyDescent="0.25">
      <c r="A29" s="121"/>
      <c r="B29" s="121"/>
    </row>
    <row r="30" spans="1:8" x14ac:dyDescent="0.25">
      <c r="A30" s="121"/>
      <c r="B30" s="121"/>
    </row>
    <row r="31" spans="1:8" x14ac:dyDescent="0.25">
      <c r="A31" s="121"/>
      <c r="B31" s="121"/>
    </row>
  </sheetData>
  <mergeCells count="1">
    <mergeCell ref="A13:A20"/>
  </mergeCells>
  <pageMargins left="0.7" right="0.7" top="0.75" bottom="0.7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H30"/>
  <sheetViews>
    <sheetView topLeftCell="A7" workbookViewId="0">
      <selection activeCell="H10" sqref="H10:H20"/>
    </sheetView>
  </sheetViews>
  <sheetFormatPr baseColWidth="10" defaultRowHeight="15" x14ac:dyDescent="0.25"/>
  <cols>
    <col min="1" max="1" width="25.7109375" customWidth="1"/>
    <col min="2" max="2" width="37.5703125" customWidth="1"/>
    <col min="4" max="4" width="4" style="162" customWidth="1"/>
  </cols>
  <sheetData>
    <row r="1" spans="1:8" x14ac:dyDescent="0.25">
      <c r="A1" t="s">
        <v>431</v>
      </c>
    </row>
    <row r="3" spans="1:8" ht="20.25" x14ac:dyDescent="0.3">
      <c r="A3" s="2"/>
      <c r="B3" s="4" t="s">
        <v>0</v>
      </c>
      <c r="C3" s="2"/>
      <c r="D3" s="2"/>
    </row>
    <row r="4" spans="1:8" ht="15.75" x14ac:dyDescent="0.25">
      <c r="A4" s="2"/>
      <c r="B4" s="2"/>
      <c r="C4" s="2"/>
      <c r="D4" s="2"/>
    </row>
    <row r="5" spans="1:8" ht="20.25" x14ac:dyDescent="0.3">
      <c r="A5" s="1"/>
      <c r="B5" s="4" t="s">
        <v>83</v>
      </c>
      <c r="C5" s="2"/>
      <c r="D5" s="2"/>
    </row>
    <row r="6" spans="1:8" ht="20.25" x14ac:dyDescent="0.3">
      <c r="A6" s="4"/>
      <c r="B6" s="2"/>
      <c r="C6" s="2"/>
      <c r="D6" s="2"/>
    </row>
    <row r="7" spans="1:8" ht="15.75" x14ac:dyDescent="0.25">
      <c r="A7" s="3" t="s">
        <v>1</v>
      </c>
      <c r="B7" s="3" t="s">
        <v>84</v>
      </c>
      <c r="C7" s="5"/>
      <c r="D7" s="5"/>
    </row>
    <row r="8" spans="1:8" ht="15.75" x14ac:dyDescent="0.25">
      <c r="A8" s="3" t="s">
        <v>2</v>
      </c>
      <c r="B8" s="3" t="s">
        <v>3</v>
      </c>
      <c r="C8" s="5"/>
      <c r="D8" s="5"/>
    </row>
    <row r="9" spans="1:8" ht="16.5" thickBot="1" x14ac:dyDescent="0.3">
      <c r="A9" s="3" t="s">
        <v>4</v>
      </c>
      <c r="B9" s="3" t="s">
        <v>30</v>
      </c>
      <c r="C9" s="5"/>
      <c r="D9" s="5"/>
    </row>
    <row r="10" spans="1:8" ht="16.5" thickBot="1" x14ac:dyDescent="0.3">
      <c r="A10" s="3" t="s">
        <v>5</v>
      </c>
      <c r="B10" s="3" t="s">
        <v>31</v>
      </c>
      <c r="C10" s="5"/>
      <c r="D10" s="5"/>
      <c r="F10" s="29" t="s">
        <v>156</v>
      </c>
      <c r="G10" s="28"/>
      <c r="H10" s="203" t="s">
        <v>474</v>
      </c>
    </row>
    <row r="11" spans="1:8" ht="15.75" x14ac:dyDescent="0.25">
      <c r="A11" s="3" t="s">
        <v>6</v>
      </c>
      <c r="B11" s="3" t="s">
        <v>81</v>
      </c>
      <c r="C11" s="5"/>
      <c r="D11" s="5"/>
      <c r="F11" s="12" t="s">
        <v>158</v>
      </c>
      <c r="G11" s="1">
        <v>150</v>
      </c>
      <c r="H11" s="12">
        <v>260</v>
      </c>
    </row>
    <row r="12" spans="1:8" ht="16.5" thickBot="1" x14ac:dyDescent="0.3">
      <c r="A12" s="3" t="s">
        <v>8</v>
      </c>
      <c r="B12" s="3"/>
      <c r="C12" s="5"/>
      <c r="D12" s="5"/>
      <c r="E12" s="44" t="s">
        <v>274</v>
      </c>
      <c r="F12" s="12" t="s">
        <v>160</v>
      </c>
      <c r="G12" s="91">
        <f>G11*1000/10</f>
        <v>15000</v>
      </c>
      <c r="H12" s="17">
        <f>H11*1000/10</f>
        <v>26000</v>
      </c>
    </row>
    <row r="13" spans="1:8" ht="15.75" x14ac:dyDescent="0.25">
      <c r="A13" s="329" t="s">
        <v>9</v>
      </c>
      <c r="B13" s="11" t="s">
        <v>32</v>
      </c>
      <c r="C13" s="7">
        <v>8.5000000000000006E-3</v>
      </c>
      <c r="D13" t="s">
        <v>174</v>
      </c>
      <c r="E13" s="44" t="s">
        <v>289</v>
      </c>
      <c r="F13" s="30">
        <f>C13*G12</f>
        <v>127.50000000000001</v>
      </c>
      <c r="G13" s="32"/>
      <c r="H13" s="30">
        <f>C13*H12</f>
        <v>221.00000000000003</v>
      </c>
    </row>
    <row r="14" spans="1:8" ht="15.75" x14ac:dyDescent="0.25">
      <c r="A14" s="330"/>
      <c r="B14" s="6" t="s">
        <v>82</v>
      </c>
      <c r="C14" s="8">
        <v>1.5E-3</v>
      </c>
      <c r="D14" t="s">
        <v>174</v>
      </c>
      <c r="E14" s="44" t="s">
        <v>302</v>
      </c>
      <c r="F14" s="30">
        <f>C14*G12</f>
        <v>22.5</v>
      </c>
      <c r="G14" s="32"/>
      <c r="H14" s="30">
        <f>C14*$H$12</f>
        <v>39</v>
      </c>
    </row>
    <row r="15" spans="1:8" ht="15.75" x14ac:dyDescent="0.25">
      <c r="A15" s="330"/>
      <c r="B15" s="6" t="s">
        <v>10</v>
      </c>
      <c r="C15" s="8">
        <v>1.818E-3</v>
      </c>
      <c r="D15" t="s">
        <v>174</v>
      </c>
      <c r="E15" s="44" t="s">
        <v>291</v>
      </c>
      <c r="F15" s="30">
        <f>C15*G12</f>
        <v>27.27</v>
      </c>
      <c r="G15" s="32"/>
      <c r="H15" s="30">
        <f t="shared" ref="H15:H20" si="0">C15*$H$12</f>
        <v>47.268000000000001</v>
      </c>
    </row>
    <row r="16" spans="1:8" ht="15.75" x14ac:dyDescent="0.25">
      <c r="A16" s="330"/>
      <c r="B16" s="6" t="s">
        <v>11</v>
      </c>
      <c r="C16" s="8">
        <v>1.6559999999999999E-3</v>
      </c>
      <c r="D16" t="s">
        <v>174</v>
      </c>
      <c r="E16" s="44" t="s">
        <v>398</v>
      </c>
      <c r="F16" s="30">
        <f>C16*G12</f>
        <v>24.84</v>
      </c>
      <c r="G16" s="32"/>
      <c r="H16" s="30">
        <f t="shared" si="0"/>
        <v>43.055999999999997</v>
      </c>
    </row>
    <row r="17" spans="1:8" ht="15.75" x14ac:dyDescent="0.25">
      <c r="A17" s="330"/>
      <c r="B17" s="6" t="s">
        <v>12</v>
      </c>
      <c r="C17" s="8">
        <v>1</v>
      </c>
      <c r="D17" t="s">
        <v>161</v>
      </c>
      <c r="E17" s="44" t="s">
        <v>399</v>
      </c>
      <c r="F17" s="31">
        <f>C17*G12</f>
        <v>15000</v>
      </c>
      <c r="G17" s="33"/>
      <c r="H17" s="30">
        <f t="shared" si="0"/>
        <v>26000</v>
      </c>
    </row>
    <row r="18" spans="1:8" ht="15.75" x14ac:dyDescent="0.25">
      <c r="A18" s="330"/>
      <c r="B18" s="6" t="s">
        <v>13</v>
      </c>
      <c r="C18" s="8">
        <v>1</v>
      </c>
      <c r="D18" t="s">
        <v>161</v>
      </c>
      <c r="E18" s="44" t="s">
        <v>395</v>
      </c>
      <c r="F18" s="31">
        <f>C18*G12</f>
        <v>15000</v>
      </c>
      <c r="G18" s="33"/>
      <c r="H18" s="30">
        <f t="shared" si="0"/>
        <v>26000</v>
      </c>
    </row>
    <row r="19" spans="1:8" ht="15.75" x14ac:dyDescent="0.25">
      <c r="A19" s="330"/>
      <c r="B19" s="6" t="s">
        <v>14</v>
      </c>
      <c r="C19" s="8">
        <v>1</v>
      </c>
      <c r="D19" t="s">
        <v>161</v>
      </c>
      <c r="E19" s="44" t="s">
        <v>276</v>
      </c>
      <c r="F19" s="31">
        <f>C19*G12</f>
        <v>15000</v>
      </c>
      <c r="G19" s="33"/>
      <c r="H19" s="30">
        <f t="shared" si="0"/>
        <v>26000</v>
      </c>
    </row>
    <row r="20" spans="1:8" ht="15.75" thickBot="1" x14ac:dyDescent="0.3">
      <c r="A20" s="331"/>
      <c r="B20" s="23" t="s">
        <v>15</v>
      </c>
      <c r="C20" s="24">
        <v>0.01</v>
      </c>
      <c r="D20" t="s">
        <v>161</v>
      </c>
      <c r="E20" s="44" t="s">
        <v>281</v>
      </c>
      <c r="F20" s="31">
        <f>C20*G12</f>
        <v>150</v>
      </c>
      <c r="G20" s="33"/>
      <c r="H20" s="30">
        <f t="shared" si="0"/>
        <v>260</v>
      </c>
    </row>
    <row r="23" spans="1:8" ht="15.75" x14ac:dyDescent="0.25">
      <c r="A23" s="124" t="s">
        <v>233</v>
      </c>
      <c r="B23" s="124" t="s">
        <v>233</v>
      </c>
      <c r="C23" s="125" t="s">
        <v>234</v>
      </c>
      <c r="D23" s="125"/>
    </row>
    <row r="24" spans="1:8" ht="15.75" x14ac:dyDescent="0.25">
      <c r="A24" s="122" t="s">
        <v>235</v>
      </c>
      <c r="B24" s="122" t="s">
        <v>236</v>
      </c>
      <c r="C24" s="123" t="s">
        <v>237</v>
      </c>
      <c r="D24" s="123"/>
    </row>
    <row r="25" spans="1:8" ht="15.75" x14ac:dyDescent="0.25">
      <c r="A25" s="122" t="s">
        <v>238</v>
      </c>
      <c r="B25" s="122" t="s">
        <v>239</v>
      </c>
      <c r="C25" s="123" t="s">
        <v>240</v>
      </c>
      <c r="D25" s="123"/>
    </row>
    <row r="26" spans="1:8" x14ac:dyDescent="0.25">
      <c r="A26" s="121"/>
      <c r="B26" s="121"/>
    </row>
    <row r="27" spans="1:8" x14ac:dyDescent="0.25">
      <c r="A27" s="121"/>
      <c r="B27" s="121"/>
    </row>
    <row r="28" spans="1:8" x14ac:dyDescent="0.25">
      <c r="A28" s="121"/>
      <c r="B28" s="121"/>
    </row>
    <row r="29" spans="1:8" x14ac:dyDescent="0.25">
      <c r="A29" s="121"/>
      <c r="B29" s="121"/>
    </row>
    <row r="30" spans="1:8" x14ac:dyDescent="0.25">
      <c r="A30" s="121"/>
      <c r="B30" s="121"/>
    </row>
  </sheetData>
  <mergeCells count="1">
    <mergeCell ref="A13:A20"/>
  </mergeCells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H31"/>
  <sheetViews>
    <sheetView workbookViewId="0">
      <selection activeCell="H10" sqref="H10:H20"/>
    </sheetView>
  </sheetViews>
  <sheetFormatPr baseColWidth="10" defaultRowHeight="15" x14ac:dyDescent="0.25"/>
  <cols>
    <col min="1" max="1" width="27.85546875" customWidth="1"/>
    <col min="2" max="2" width="37.85546875" customWidth="1"/>
    <col min="3" max="3" width="12.7109375" customWidth="1"/>
    <col min="4" max="4" width="4.42578125" style="162" customWidth="1"/>
  </cols>
  <sheetData>
    <row r="1" spans="1:8" x14ac:dyDescent="0.25">
      <c r="A1" t="s">
        <v>431</v>
      </c>
    </row>
    <row r="3" spans="1:8" ht="20.25" x14ac:dyDescent="0.3">
      <c r="A3" s="2"/>
      <c r="B3" s="4" t="s">
        <v>0</v>
      </c>
      <c r="C3" s="2"/>
      <c r="D3" s="2"/>
    </row>
    <row r="4" spans="1:8" ht="15.75" x14ac:dyDescent="0.25">
      <c r="A4" s="2"/>
      <c r="B4" s="2"/>
      <c r="C4" s="2"/>
      <c r="D4" s="2"/>
    </row>
    <row r="5" spans="1:8" ht="20.25" x14ac:dyDescent="0.3">
      <c r="A5" s="1"/>
      <c r="B5" s="4" t="s">
        <v>85</v>
      </c>
      <c r="C5" s="2"/>
      <c r="D5" s="2"/>
    </row>
    <row r="6" spans="1:8" ht="20.25" x14ac:dyDescent="0.3">
      <c r="A6" s="4"/>
      <c r="B6" s="2"/>
      <c r="C6" s="2"/>
      <c r="D6" s="2"/>
    </row>
    <row r="7" spans="1:8" ht="15.75" x14ac:dyDescent="0.25">
      <c r="A7" s="3" t="s">
        <v>1</v>
      </c>
      <c r="B7" s="3" t="s">
        <v>86</v>
      </c>
      <c r="C7" s="5"/>
      <c r="D7" s="5"/>
    </row>
    <row r="8" spans="1:8" ht="15.75" x14ac:dyDescent="0.25">
      <c r="A8" s="3" t="s">
        <v>2</v>
      </c>
      <c r="B8" s="3" t="s">
        <v>3</v>
      </c>
      <c r="C8" s="5"/>
      <c r="D8" s="5"/>
    </row>
    <row r="9" spans="1:8" ht="16.5" thickBot="1" x14ac:dyDescent="0.3">
      <c r="A9" s="3" t="s">
        <v>4</v>
      </c>
      <c r="B9" s="3" t="s">
        <v>30</v>
      </c>
      <c r="C9" s="5"/>
      <c r="D9" s="5"/>
    </row>
    <row r="10" spans="1:8" ht="16.5" thickBot="1" x14ac:dyDescent="0.3">
      <c r="A10" s="3" t="s">
        <v>5</v>
      </c>
      <c r="B10" s="3" t="s">
        <v>31</v>
      </c>
      <c r="C10" s="5"/>
      <c r="D10" s="5"/>
      <c r="F10" s="29" t="s">
        <v>156</v>
      </c>
      <c r="G10" s="28"/>
      <c r="H10" s="203" t="s">
        <v>474</v>
      </c>
    </row>
    <row r="11" spans="1:8" ht="15.75" x14ac:dyDescent="0.25">
      <c r="A11" s="3" t="s">
        <v>6</v>
      </c>
      <c r="B11" s="3" t="s">
        <v>81</v>
      </c>
      <c r="C11" s="5"/>
      <c r="D11" s="5"/>
      <c r="F11" s="12" t="s">
        <v>158</v>
      </c>
      <c r="G11" s="1">
        <v>150</v>
      </c>
      <c r="H11" s="12">
        <v>260</v>
      </c>
    </row>
    <row r="12" spans="1:8" ht="16.5" thickBot="1" x14ac:dyDescent="0.3">
      <c r="A12" s="3" t="s">
        <v>8</v>
      </c>
      <c r="B12" s="3"/>
      <c r="C12" s="5"/>
      <c r="D12" s="5"/>
      <c r="E12" s="44" t="s">
        <v>274</v>
      </c>
      <c r="F12" s="12" t="s">
        <v>160</v>
      </c>
      <c r="G12" s="91">
        <f>G11*1000/10</f>
        <v>15000</v>
      </c>
      <c r="H12" s="17">
        <f>H11*1000/10</f>
        <v>26000</v>
      </c>
    </row>
    <row r="13" spans="1:8" ht="15.75" x14ac:dyDescent="0.25">
      <c r="A13" s="329" t="s">
        <v>9</v>
      </c>
      <c r="B13" s="11" t="s">
        <v>32</v>
      </c>
      <c r="C13" s="7">
        <v>8.0000000000000002E-3</v>
      </c>
      <c r="D13" t="s">
        <v>174</v>
      </c>
      <c r="E13" s="44" t="s">
        <v>289</v>
      </c>
      <c r="F13" s="30">
        <f>C13*G12</f>
        <v>120</v>
      </c>
      <c r="G13" s="32"/>
      <c r="H13" s="30">
        <f>C13*H12</f>
        <v>208</v>
      </c>
    </row>
    <row r="14" spans="1:8" ht="15.75" x14ac:dyDescent="0.25">
      <c r="A14" s="330"/>
      <c r="B14" s="6" t="s">
        <v>82</v>
      </c>
      <c r="C14" s="8">
        <v>2E-3</v>
      </c>
      <c r="D14" t="s">
        <v>174</v>
      </c>
      <c r="E14" s="44" t="s">
        <v>302</v>
      </c>
      <c r="F14" s="30">
        <f>C14*G12</f>
        <v>30</v>
      </c>
      <c r="G14" s="32"/>
      <c r="H14" s="30">
        <f>C14*$H$12</f>
        <v>52</v>
      </c>
    </row>
    <row r="15" spans="1:8" ht="15.75" x14ac:dyDescent="0.25">
      <c r="A15" s="330"/>
      <c r="B15" s="6" t="s">
        <v>10</v>
      </c>
      <c r="C15" s="8">
        <v>1.818E-3</v>
      </c>
      <c r="D15" t="s">
        <v>174</v>
      </c>
      <c r="E15" s="44" t="s">
        <v>291</v>
      </c>
      <c r="F15" s="30">
        <f>C15*G12</f>
        <v>27.27</v>
      </c>
      <c r="G15" s="32"/>
      <c r="H15" s="30">
        <f t="shared" ref="H15:H20" si="0">C15*$H$12</f>
        <v>47.268000000000001</v>
      </c>
    </row>
    <row r="16" spans="1:8" ht="15.75" x14ac:dyDescent="0.25">
      <c r="A16" s="330"/>
      <c r="B16" s="6" t="s">
        <v>11</v>
      </c>
      <c r="C16" s="8">
        <v>1.6559999999999999E-3</v>
      </c>
      <c r="D16" t="s">
        <v>174</v>
      </c>
      <c r="E16" s="44" t="s">
        <v>400</v>
      </c>
      <c r="F16" s="30">
        <f>C16*G12</f>
        <v>24.84</v>
      </c>
      <c r="G16" s="32"/>
      <c r="H16" s="30">
        <f t="shared" si="0"/>
        <v>43.055999999999997</v>
      </c>
    </row>
    <row r="17" spans="1:8" ht="15.75" x14ac:dyDescent="0.25">
      <c r="A17" s="330"/>
      <c r="B17" s="6" t="s">
        <v>12</v>
      </c>
      <c r="C17" s="8">
        <v>1</v>
      </c>
      <c r="D17" t="s">
        <v>161</v>
      </c>
      <c r="E17" s="44" t="s">
        <v>401</v>
      </c>
      <c r="F17" s="31">
        <f>C17*G12</f>
        <v>15000</v>
      </c>
      <c r="G17" s="33"/>
      <c r="H17" s="30">
        <f t="shared" si="0"/>
        <v>26000</v>
      </c>
    </row>
    <row r="18" spans="1:8" ht="15.75" x14ac:dyDescent="0.25">
      <c r="A18" s="330"/>
      <c r="B18" s="6" t="s">
        <v>13</v>
      </c>
      <c r="C18" s="8">
        <v>1</v>
      </c>
      <c r="D18" t="s">
        <v>161</v>
      </c>
      <c r="E18" s="44" t="s">
        <v>395</v>
      </c>
      <c r="F18" s="31">
        <f>C18*G12</f>
        <v>15000</v>
      </c>
      <c r="G18" s="33"/>
      <c r="H18" s="30">
        <f t="shared" si="0"/>
        <v>26000</v>
      </c>
    </row>
    <row r="19" spans="1:8" ht="15.75" x14ac:dyDescent="0.25">
      <c r="A19" s="330"/>
      <c r="B19" s="6" t="s">
        <v>14</v>
      </c>
      <c r="C19" s="8">
        <v>1</v>
      </c>
      <c r="D19" t="s">
        <v>161</v>
      </c>
      <c r="E19" s="44" t="s">
        <v>276</v>
      </c>
      <c r="F19" s="31">
        <f>C19*G12</f>
        <v>15000</v>
      </c>
      <c r="G19" s="33"/>
      <c r="H19" s="30">
        <f t="shared" si="0"/>
        <v>26000</v>
      </c>
    </row>
    <row r="20" spans="1:8" ht="15.75" thickBot="1" x14ac:dyDescent="0.3">
      <c r="A20" s="331"/>
      <c r="B20" s="23" t="s">
        <v>15</v>
      </c>
      <c r="C20" s="24">
        <v>0.01</v>
      </c>
      <c r="D20" t="s">
        <v>161</v>
      </c>
      <c r="E20" s="44" t="s">
        <v>281</v>
      </c>
      <c r="F20" s="31">
        <f>C20*G12</f>
        <v>150</v>
      </c>
      <c r="G20" s="33"/>
      <c r="H20" s="30">
        <f t="shared" si="0"/>
        <v>260</v>
      </c>
    </row>
    <row r="24" spans="1:8" ht="15.75" x14ac:dyDescent="0.25">
      <c r="A24" s="124" t="s">
        <v>233</v>
      </c>
      <c r="B24" s="124" t="s">
        <v>233</v>
      </c>
      <c r="C24" s="125" t="s">
        <v>234</v>
      </c>
      <c r="D24" s="125"/>
    </row>
    <row r="25" spans="1:8" ht="15.75" x14ac:dyDescent="0.25">
      <c r="A25" s="122" t="s">
        <v>235</v>
      </c>
      <c r="B25" s="122" t="s">
        <v>236</v>
      </c>
      <c r="C25" s="123" t="s">
        <v>237</v>
      </c>
      <c r="D25" s="123"/>
    </row>
    <row r="26" spans="1:8" ht="15.75" x14ac:dyDescent="0.25">
      <c r="A26" s="122" t="s">
        <v>238</v>
      </c>
      <c r="B26" s="122" t="s">
        <v>239</v>
      </c>
      <c r="C26" s="123" t="s">
        <v>240</v>
      </c>
      <c r="D26" s="123"/>
    </row>
    <row r="27" spans="1:8" x14ac:dyDescent="0.25">
      <c r="A27" s="121"/>
      <c r="B27" s="121"/>
    </row>
    <row r="28" spans="1:8" x14ac:dyDescent="0.25">
      <c r="A28" s="121"/>
      <c r="B28" s="121"/>
    </row>
    <row r="29" spans="1:8" x14ac:dyDescent="0.25">
      <c r="A29" s="121"/>
      <c r="B29" s="121"/>
    </row>
    <row r="30" spans="1:8" x14ac:dyDescent="0.25">
      <c r="A30" s="121"/>
      <c r="B30" s="121"/>
    </row>
    <row r="31" spans="1:8" x14ac:dyDescent="0.25">
      <c r="A31" s="121"/>
      <c r="B31" s="121"/>
    </row>
  </sheetData>
  <mergeCells count="1">
    <mergeCell ref="A13:A20"/>
  </mergeCells>
  <pageMargins left="0.7" right="0.7" top="0.75" bottom="0.75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I30"/>
  <sheetViews>
    <sheetView workbookViewId="0">
      <selection activeCell="L39" sqref="L39"/>
    </sheetView>
  </sheetViews>
  <sheetFormatPr baseColWidth="10" defaultRowHeight="15" x14ac:dyDescent="0.25"/>
  <cols>
    <col min="1" max="1" width="23.140625" customWidth="1"/>
    <col min="2" max="2" width="36.5703125" customWidth="1"/>
    <col min="3" max="3" width="10.42578125" customWidth="1"/>
    <col min="4" max="4" width="10" style="162" customWidth="1"/>
    <col min="5" max="5" width="9.85546875" customWidth="1"/>
    <col min="6" max="6" width="11.140625" customWidth="1"/>
    <col min="7" max="7" width="9.28515625" customWidth="1"/>
    <col min="8" max="8" width="8.85546875" customWidth="1"/>
    <col min="9" max="9" width="4.5703125" customWidth="1"/>
  </cols>
  <sheetData>
    <row r="1" spans="1:9" x14ac:dyDescent="0.25">
      <c r="A1" t="s">
        <v>431</v>
      </c>
    </row>
    <row r="2" spans="1:9" ht="20.25" x14ac:dyDescent="0.3">
      <c r="A2" s="2"/>
      <c r="B2" s="4" t="s">
        <v>0</v>
      </c>
      <c r="C2" s="2"/>
      <c r="D2" s="2"/>
    </row>
    <row r="3" spans="1:9" ht="15.75" x14ac:dyDescent="0.25">
      <c r="A3" s="2"/>
      <c r="B3" s="2"/>
      <c r="C3" s="2"/>
      <c r="D3" s="2"/>
    </row>
    <row r="4" spans="1:9" ht="20.25" x14ac:dyDescent="0.3">
      <c r="A4" s="1"/>
      <c r="B4" s="4" t="s">
        <v>87</v>
      </c>
      <c r="C4" s="2"/>
      <c r="D4" s="2"/>
    </row>
    <row r="5" spans="1:9" ht="20.25" x14ac:dyDescent="0.3">
      <c r="A5" s="4"/>
      <c r="B5" s="2"/>
      <c r="C5" s="2"/>
      <c r="D5" s="2"/>
    </row>
    <row r="6" spans="1:9" ht="15.75" x14ac:dyDescent="0.25">
      <c r="A6" s="3" t="s">
        <v>1</v>
      </c>
      <c r="B6" s="3" t="s">
        <v>88</v>
      </c>
      <c r="C6" s="5"/>
      <c r="D6" s="5"/>
    </row>
    <row r="7" spans="1:9" ht="15.75" x14ac:dyDescent="0.25">
      <c r="A7" s="3" t="s">
        <v>2</v>
      </c>
      <c r="B7" s="3" t="s">
        <v>3</v>
      </c>
      <c r="C7" s="5"/>
      <c r="D7" s="5"/>
    </row>
    <row r="8" spans="1:9" ht="16.5" thickBot="1" x14ac:dyDescent="0.3">
      <c r="A8" s="3" t="s">
        <v>4</v>
      </c>
      <c r="B8" s="3" t="s">
        <v>30</v>
      </c>
      <c r="C8" s="5"/>
      <c r="D8" s="5"/>
    </row>
    <row r="9" spans="1:9" ht="16.5" thickBot="1" x14ac:dyDescent="0.3">
      <c r="A9" s="3" t="s">
        <v>5</v>
      </c>
      <c r="B9" s="3" t="s">
        <v>31</v>
      </c>
      <c r="C9" s="5"/>
      <c r="D9" s="5"/>
      <c r="F9" s="29" t="s">
        <v>156</v>
      </c>
      <c r="G9" s="28"/>
      <c r="H9" s="83" t="s">
        <v>157</v>
      </c>
    </row>
    <row r="10" spans="1:9" ht="15.75" x14ac:dyDescent="0.25">
      <c r="A10" s="3" t="s">
        <v>6</v>
      </c>
      <c r="B10" s="3" t="s">
        <v>81</v>
      </c>
      <c r="C10" s="5"/>
      <c r="D10" s="5"/>
      <c r="F10" s="12" t="s">
        <v>158</v>
      </c>
      <c r="G10" s="1">
        <v>150</v>
      </c>
      <c r="H10" s="12"/>
      <c r="I10">
        <v>260</v>
      </c>
    </row>
    <row r="11" spans="1:9" ht="16.5" thickBot="1" x14ac:dyDescent="0.3">
      <c r="A11" s="3" t="s">
        <v>8</v>
      </c>
      <c r="B11" s="3"/>
      <c r="C11" s="5"/>
      <c r="D11" s="5"/>
      <c r="E11" s="44" t="s">
        <v>274</v>
      </c>
      <c r="F11" s="12" t="s">
        <v>160</v>
      </c>
      <c r="G11" s="91">
        <f>G10*1000/20</f>
        <v>7500</v>
      </c>
      <c r="H11" s="12">
        <f>I10*1000/20</f>
        <v>13000</v>
      </c>
    </row>
    <row r="12" spans="1:9" ht="15.75" x14ac:dyDescent="0.25">
      <c r="A12" s="329" t="s">
        <v>9</v>
      </c>
      <c r="B12" s="11" t="s">
        <v>32</v>
      </c>
      <c r="C12" s="7">
        <v>1.7000000000000001E-2</v>
      </c>
      <c r="D12" t="s">
        <v>174</v>
      </c>
      <c r="E12" s="44" t="s">
        <v>289</v>
      </c>
      <c r="F12" s="30">
        <f>C12*G11</f>
        <v>127.50000000000001</v>
      </c>
      <c r="G12" s="32"/>
      <c r="H12" s="30">
        <f>C12*H11</f>
        <v>221.00000000000003</v>
      </c>
    </row>
    <row r="13" spans="1:9" ht="15.75" x14ac:dyDescent="0.25">
      <c r="A13" s="330"/>
      <c r="B13" s="6" t="s">
        <v>82</v>
      </c>
      <c r="C13" s="8">
        <v>3.0000000000000001E-3</v>
      </c>
      <c r="D13" t="s">
        <v>174</v>
      </c>
      <c r="E13" s="44" t="s">
        <v>302</v>
      </c>
      <c r="F13" s="30">
        <f>C13*G11</f>
        <v>22.5</v>
      </c>
      <c r="G13" s="32"/>
      <c r="H13" s="30">
        <f>C13*H11</f>
        <v>39</v>
      </c>
    </row>
    <row r="14" spans="1:9" ht="15.75" x14ac:dyDescent="0.25">
      <c r="A14" s="330"/>
      <c r="B14" s="6" t="s">
        <v>10</v>
      </c>
      <c r="C14" s="8">
        <v>1.818E-3</v>
      </c>
      <c r="D14" t="s">
        <v>174</v>
      </c>
      <c r="E14" s="44" t="s">
        <v>291</v>
      </c>
      <c r="F14" s="30">
        <f>C14*G11</f>
        <v>13.635</v>
      </c>
      <c r="G14" s="32"/>
      <c r="H14" s="30">
        <f>C14*H11</f>
        <v>23.634</v>
      </c>
    </row>
    <row r="15" spans="1:9" ht="15.75" x14ac:dyDescent="0.25">
      <c r="A15" s="330"/>
      <c r="B15" s="6" t="s">
        <v>11</v>
      </c>
      <c r="C15" s="8">
        <v>1.6559999999999999E-3</v>
      </c>
      <c r="D15" t="s">
        <v>174</v>
      </c>
      <c r="E15" s="44" t="s">
        <v>402</v>
      </c>
      <c r="F15" s="30">
        <f>C15*G11</f>
        <v>12.42</v>
      </c>
      <c r="G15" s="32"/>
      <c r="H15" s="30">
        <f>C15*H11</f>
        <v>21.527999999999999</v>
      </c>
    </row>
    <row r="16" spans="1:9" ht="15.75" x14ac:dyDescent="0.25">
      <c r="A16" s="330"/>
      <c r="B16" s="6" t="s">
        <v>12</v>
      </c>
      <c r="C16" s="8">
        <v>1</v>
      </c>
      <c r="D16" t="s">
        <v>161</v>
      </c>
      <c r="E16" s="44" t="s">
        <v>403</v>
      </c>
      <c r="F16" s="31">
        <f>C16*G11</f>
        <v>7500</v>
      </c>
      <c r="G16" s="33"/>
      <c r="H16" s="31">
        <f>C16*H11</f>
        <v>13000</v>
      </c>
    </row>
    <row r="17" spans="1:8" ht="15.75" x14ac:dyDescent="0.25">
      <c r="A17" s="330"/>
      <c r="B17" s="6" t="s">
        <v>13</v>
      </c>
      <c r="C17" s="8">
        <v>1</v>
      </c>
      <c r="D17" t="s">
        <v>161</v>
      </c>
      <c r="E17" s="44" t="s">
        <v>395</v>
      </c>
      <c r="F17" s="31">
        <f>C17*G11</f>
        <v>7500</v>
      </c>
      <c r="G17" s="33"/>
      <c r="H17" s="31">
        <f>C17*H11</f>
        <v>13000</v>
      </c>
    </row>
    <row r="18" spans="1:8" ht="15.75" x14ac:dyDescent="0.25">
      <c r="A18" s="330"/>
      <c r="B18" s="6" t="s">
        <v>14</v>
      </c>
      <c r="C18" s="8">
        <v>1</v>
      </c>
      <c r="D18" t="s">
        <v>161</v>
      </c>
      <c r="E18" s="44" t="s">
        <v>276</v>
      </c>
      <c r="F18" s="31">
        <f>C18*G11</f>
        <v>7500</v>
      </c>
      <c r="G18" s="33"/>
      <c r="H18" s="31">
        <f>C18*H11</f>
        <v>13000</v>
      </c>
    </row>
    <row r="19" spans="1:8" ht="15.75" thickBot="1" x14ac:dyDescent="0.3">
      <c r="A19" s="331"/>
      <c r="B19" s="23" t="s">
        <v>15</v>
      </c>
      <c r="C19" s="24">
        <v>0.01</v>
      </c>
      <c r="D19" t="s">
        <v>161</v>
      </c>
      <c r="E19" s="44" t="s">
        <v>281</v>
      </c>
      <c r="F19" s="31">
        <f>C19*G11</f>
        <v>75</v>
      </c>
      <c r="G19" s="33"/>
      <c r="H19" s="31">
        <f>C19*H11</f>
        <v>130</v>
      </c>
    </row>
    <row r="23" spans="1:8" ht="15.75" x14ac:dyDescent="0.25">
      <c r="A23" s="124" t="s">
        <v>233</v>
      </c>
      <c r="B23" s="124" t="s">
        <v>233</v>
      </c>
      <c r="C23" s="125" t="s">
        <v>234</v>
      </c>
      <c r="D23" s="125"/>
    </row>
    <row r="24" spans="1:8" ht="15.75" x14ac:dyDescent="0.25">
      <c r="A24" s="122" t="s">
        <v>235</v>
      </c>
      <c r="B24" s="122" t="s">
        <v>236</v>
      </c>
      <c r="C24" s="123" t="s">
        <v>237</v>
      </c>
      <c r="D24" s="123"/>
    </row>
    <row r="25" spans="1:8" ht="15.75" x14ac:dyDescent="0.25">
      <c r="A25" s="122" t="s">
        <v>238</v>
      </c>
      <c r="B25" s="122" t="s">
        <v>239</v>
      </c>
      <c r="C25" s="123" t="s">
        <v>240</v>
      </c>
      <c r="D25" s="123"/>
    </row>
    <row r="26" spans="1:8" x14ac:dyDescent="0.25">
      <c r="A26" s="121"/>
      <c r="B26" s="121"/>
    </row>
    <row r="27" spans="1:8" x14ac:dyDescent="0.25">
      <c r="A27" s="121"/>
      <c r="B27" s="121"/>
    </row>
    <row r="28" spans="1:8" x14ac:dyDescent="0.25">
      <c r="A28" s="121"/>
      <c r="B28" s="121"/>
    </row>
    <row r="29" spans="1:8" x14ac:dyDescent="0.25">
      <c r="A29" s="121"/>
      <c r="B29" s="121"/>
    </row>
    <row r="30" spans="1:8" x14ac:dyDescent="0.25">
      <c r="A30" s="121"/>
      <c r="B30" s="121"/>
    </row>
  </sheetData>
  <mergeCells count="1">
    <mergeCell ref="A12:A19"/>
  </mergeCells>
  <pageMargins left="0.7" right="0.7" top="0.75" bottom="0.75" header="0.3" footer="0.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3:H40"/>
  <sheetViews>
    <sheetView topLeftCell="A4" workbookViewId="0">
      <selection activeCell="F14" sqref="F14"/>
    </sheetView>
  </sheetViews>
  <sheetFormatPr baseColWidth="10" defaultRowHeight="15.75" x14ac:dyDescent="0.25"/>
  <cols>
    <col min="1" max="1" width="26.5703125" style="206" customWidth="1"/>
    <col min="2" max="2" width="36.42578125" style="206" customWidth="1"/>
    <col min="3" max="4" width="12.140625" style="206" customWidth="1"/>
    <col min="5" max="8" width="11.42578125" style="215"/>
    <col min="9" max="16384" width="11.42578125" style="206"/>
  </cols>
  <sheetData>
    <row r="3" spans="1:8" ht="20.25" x14ac:dyDescent="0.3">
      <c r="A3" s="2"/>
      <c r="B3" s="4" t="s">
        <v>0</v>
      </c>
      <c r="C3" s="2"/>
      <c r="D3" s="2"/>
    </row>
    <row r="4" spans="1:8" x14ac:dyDescent="0.25">
      <c r="A4" s="2"/>
      <c r="B4" s="2"/>
      <c r="C4" s="2"/>
      <c r="D4" s="2"/>
    </row>
    <row r="5" spans="1:8" ht="20.25" x14ac:dyDescent="0.3">
      <c r="A5" s="4"/>
      <c r="B5" s="4" t="s">
        <v>89</v>
      </c>
      <c r="C5" s="2"/>
      <c r="D5" s="2"/>
    </row>
    <row r="6" spans="1:8" ht="20.25" x14ac:dyDescent="0.3">
      <c r="A6" s="4"/>
      <c r="B6" s="2"/>
      <c r="C6" s="2"/>
      <c r="D6" s="2"/>
    </row>
    <row r="7" spans="1:8" x14ac:dyDescent="0.25">
      <c r="A7" s="3" t="s">
        <v>90</v>
      </c>
      <c r="B7" s="3" t="s">
        <v>91</v>
      </c>
      <c r="C7" s="5"/>
      <c r="D7" s="5"/>
    </row>
    <row r="8" spans="1:8" x14ac:dyDescent="0.25">
      <c r="A8" s="3" t="s">
        <v>2</v>
      </c>
      <c r="B8" s="3" t="s">
        <v>38</v>
      </c>
      <c r="C8" s="5"/>
      <c r="D8" s="5"/>
    </row>
    <row r="9" spans="1:8" x14ac:dyDescent="0.25">
      <c r="A9" s="3" t="s">
        <v>4</v>
      </c>
      <c r="B9" s="3" t="s">
        <v>39</v>
      </c>
      <c r="C9" s="5"/>
      <c r="D9" s="5"/>
    </row>
    <row r="10" spans="1:8" ht="16.5" thickBot="1" x14ac:dyDescent="0.3">
      <c r="A10" s="3" t="s">
        <v>5</v>
      </c>
      <c r="B10" s="3" t="s">
        <v>40</v>
      </c>
      <c r="C10" s="5"/>
      <c r="D10" s="5"/>
    </row>
    <row r="11" spans="1:8" ht="16.5" thickBot="1" x14ac:dyDescent="0.3">
      <c r="A11" s="3" t="s">
        <v>6</v>
      </c>
      <c r="B11" s="3" t="s">
        <v>92</v>
      </c>
      <c r="C11" s="5"/>
      <c r="D11" s="5"/>
      <c r="F11" s="216" t="s">
        <v>230</v>
      </c>
      <c r="G11" s="217"/>
      <c r="H11" s="218"/>
    </row>
    <row r="12" spans="1:8" x14ac:dyDescent="0.25">
      <c r="A12" s="3" t="s">
        <v>69</v>
      </c>
      <c r="B12" s="3" t="s">
        <v>70</v>
      </c>
      <c r="C12" s="5"/>
      <c r="D12" s="5"/>
      <c r="F12" s="3" t="s">
        <v>158</v>
      </c>
      <c r="G12" s="2">
        <v>160</v>
      </c>
      <c r="H12" s="3"/>
    </row>
    <row r="13" spans="1:8" x14ac:dyDescent="0.25">
      <c r="A13" s="3" t="s">
        <v>8</v>
      </c>
      <c r="B13" s="3"/>
      <c r="C13" s="5"/>
      <c r="D13" s="5"/>
      <c r="E13" s="219" t="s">
        <v>274</v>
      </c>
      <c r="F13" s="3" t="s">
        <v>160</v>
      </c>
      <c r="G13" s="220">
        <f>G12*1000/4.35</f>
        <v>36781.6091954023</v>
      </c>
      <c r="H13" s="3">
        <f>I14*1000/20</f>
        <v>0</v>
      </c>
    </row>
    <row r="14" spans="1:8" x14ac:dyDescent="0.25">
      <c r="A14" s="332" t="s">
        <v>9</v>
      </c>
      <c r="B14" s="18" t="s">
        <v>93</v>
      </c>
      <c r="C14" s="13">
        <v>1.4999999999999999E-4</v>
      </c>
      <c r="D14" s="206" t="s">
        <v>174</v>
      </c>
      <c r="E14" s="219" t="s">
        <v>404</v>
      </c>
      <c r="F14" s="221">
        <f>C14*G13</f>
        <v>5.5172413793103443</v>
      </c>
      <c r="G14" s="222"/>
      <c r="H14" s="221"/>
    </row>
    <row r="15" spans="1:8" x14ac:dyDescent="0.25">
      <c r="A15" s="341"/>
      <c r="B15" s="18" t="s">
        <v>94</v>
      </c>
      <c r="C15" s="13">
        <v>3.8999999999999999E-4</v>
      </c>
      <c r="D15" s="206" t="s">
        <v>174</v>
      </c>
      <c r="E15" s="219"/>
      <c r="F15" s="221">
        <f>C15*G13</f>
        <v>14.344827586206897</v>
      </c>
      <c r="G15" s="222"/>
      <c r="H15" s="221"/>
    </row>
    <row r="16" spans="1:8" x14ac:dyDescent="0.25">
      <c r="A16" s="341"/>
      <c r="B16" s="18" t="s">
        <v>95</v>
      </c>
      <c r="C16" s="13">
        <v>3.81E-3</v>
      </c>
      <c r="D16" s="206" t="s">
        <v>174</v>
      </c>
      <c r="E16" s="219"/>
      <c r="F16" s="221">
        <f>C16*G13</f>
        <v>140.13793103448276</v>
      </c>
      <c r="G16" s="222"/>
      <c r="H16" s="221"/>
    </row>
    <row r="17" spans="1:8" x14ac:dyDescent="0.25">
      <c r="A17" s="342"/>
      <c r="B17" s="18" t="s">
        <v>46</v>
      </c>
      <c r="C17" s="13">
        <v>30</v>
      </c>
      <c r="D17" s="206" t="s">
        <v>161</v>
      </c>
      <c r="E17" s="219"/>
      <c r="F17" s="223">
        <f>C17*G13</f>
        <v>1103448.2758620689</v>
      </c>
      <c r="G17" s="222"/>
      <c r="H17" s="221"/>
    </row>
    <row r="18" spans="1:8" x14ac:dyDescent="0.25">
      <c r="A18" s="342"/>
      <c r="B18" s="18" t="s">
        <v>96</v>
      </c>
      <c r="C18" s="13">
        <v>5.718E-3</v>
      </c>
      <c r="D18" s="206" t="s">
        <v>174</v>
      </c>
      <c r="E18" s="219" t="s">
        <v>351</v>
      </c>
      <c r="F18" s="223">
        <f>C18*G13</f>
        <v>210.31724137931036</v>
      </c>
      <c r="G18" s="224"/>
      <c r="H18" s="223"/>
    </row>
    <row r="19" spans="1:8" x14ac:dyDescent="0.25">
      <c r="A19" s="342"/>
      <c r="B19" s="18" t="s">
        <v>48</v>
      </c>
      <c r="C19" s="13">
        <v>1.4339999999999999E-3</v>
      </c>
      <c r="D19" s="206" t="s">
        <v>174</v>
      </c>
      <c r="E19" s="219" t="s">
        <v>405</v>
      </c>
      <c r="F19" s="223">
        <f>C19*G13</f>
        <v>52.744827586206895</v>
      </c>
      <c r="G19" s="224"/>
      <c r="H19" s="223"/>
    </row>
    <row r="20" spans="1:8" x14ac:dyDescent="0.25">
      <c r="A20" s="342"/>
      <c r="B20" s="18" t="s">
        <v>12</v>
      </c>
      <c r="C20" s="13">
        <v>1</v>
      </c>
      <c r="D20" s="206" t="s">
        <v>161</v>
      </c>
      <c r="E20" s="219" t="s">
        <v>406</v>
      </c>
      <c r="F20" s="223">
        <f>C20*G13</f>
        <v>36781.6091954023</v>
      </c>
      <c r="G20" s="224"/>
      <c r="H20" s="223"/>
    </row>
    <row r="21" spans="1:8" x14ac:dyDescent="0.25">
      <c r="A21" s="342"/>
      <c r="B21" s="18" t="s">
        <v>13</v>
      </c>
      <c r="C21" s="13">
        <v>1</v>
      </c>
      <c r="D21" s="206" t="s">
        <v>161</v>
      </c>
      <c r="E21" s="219" t="s">
        <v>407</v>
      </c>
      <c r="F21" s="223">
        <f>C21*G13</f>
        <v>36781.6091954023</v>
      </c>
      <c r="G21" s="224"/>
      <c r="H21" s="223"/>
    </row>
    <row r="22" spans="1:8" x14ac:dyDescent="0.25">
      <c r="A22" s="342"/>
      <c r="B22" s="18" t="s">
        <v>14</v>
      </c>
      <c r="C22" s="13">
        <v>1</v>
      </c>
      <c r="D22" s="206" t="s">
        <v>161</v>
      </c>
      <c r="E22" s="219" t="s">
        <v>276</v>
      </c>
      <c r="F22" s="225">
        <f>C22*G13</f>
        <v>36781.6091954023</v>
      </c>
      <c r="H22" s="219"/>
    </row>
    <row r="23" spans="1:8" x14ac:dyDescent="0.25">
      <c r="A23" s="343"/>
      <c r="B23" s="18" t="s">
        <v>49</v>
      </c>
      <c r="C23" s="13">
        <v>5.0000000000000001E-3</v>
      </c>
      <c r="D23" s="206" t="s">
        <v>161</v>
      </c>
      <c r="E23" s="219" t="s">
        <v>349</v>
      </c>
      <c r="F23" s="225">
        <f>C23*G13</f>
        <v>183.90804597701151</v>
      </c>
      <c r="H23" s="219"/>
    </row>
    <row r="25" spans="1:8" x14ac:dyDescent="0.25">
      <c r="A25" s="207" t="s">
        <v>97</v>
      </c>
      <c r="B25" s="209">
        <v>3</v>
      </c>
      <c r="C25" s="208"/>
      <c r="D25" s="208"/>
    </row>
    <row r="26" spans="1:8" x14ac:dyDescent="0.25">
      <c r="A26" s="207" t="s">
        <v>98</v>
      </c>
      <c r="B26" s="207"/>
      <c r="C26" s="208"/>
      <c r="D26" s="208"/>
    </row>
    <row r="27" spans="1:8" x14ac:dyDescent="0.25">
      <c r="A27" s="207" t="s">
        <v>61</v>
      </c>
      <c r="B27" s="207"/>
      <c r="C27" s="208"/>
      <c r="D27" s="208"/>
    </row>
    <row r="28" spans="1:8" x14ac:dyDescent="0.25">
      <c r="A28" s="207" t="s">
        <v>25</v>
      </c>
      <c r="B28" s="207"/>
      <c r="C28" s="208"/>
      <c r="D28" s="208"/>
    </row>
    <row r="29" spans="1:8" x14ac:dyDescent="0.25">
      <c r="A29" s="207" t="s">
        <v>27</v>
      </c>
      <c r="B29" s="207"/>
      <c r="C29" s="208"/>
      <c r="D29" s="208"/>
    </row>
    <row r="30" spans="1:8" x14ac:dyDescent="0.25">
      <c r="A30" s="210" t="s">
        <v>64</v>
      </c>
      <c r="B30" s="207"/>
      <c r="C30" s="208"/>
      <c r="D30" s="208"/>
    </row>
    <row r="33" spans="1:4" x14ac:dyDescent="0.25">
      <c r="A33" s="211" t="s">
        <v>233</v>
      </c>
      <c r="B33" s="211" t="s">
        <v>233</v>
      </c>
      <c r="C33" s="212" t="s">
        <v>234</v>
      </c>
      <c r="D33" s="212"/>
    </row>
    <row r="34" spans="1:4" x14ac:dyDescent="0.25">
      <c r="A34" s="213" t="s">
        <v>235</v>
      </c>
      <c r="B34" s="213" t="s">
        <v>236</v>
      </c>
      <c r="C34" s="206" t="s">
        <v>237</v>
      </c>
    </row>
    <row r="35" spans="1:4" x14ac:dyDescent="0.25">
      <c r="A35" s="213" t="s">
        <v>238</v>
      </c>
      <c r="B35" s="213" t="s">
        <v>239</v>
      </c>
      <c r="C35" s="206" t="s">
        <v>240</v>
      </c>
    </row>
    <row r="36" spans="1:4" x14ac:dyDescent="0.25">
      <c r="A36" s="214"/>
      <c r="B36" s="214"/>
    </row>
    <row r="37" spans="1:4" x14ac:dyDescent="0.25">
      <c r="A37" s="214"/>
      <c r="B37" s="214"/>
    </row>
    <row r="38" spans="1:4" x14ac:dyDescent="0.25">
      <c r="A38" s="214"/>
      <c r="B38" s="214"/>
    </row>
    <row r="39" spans="1:4" x14ac:dyDescent="0.25">
      <c r="A39" s="214"/>
      <c r="B39" s="214"/>
    </row>
    <row r="40" spans="1:4" x14ac:dyDescent="0.25">
      <c r="A40" s="214"/>
      <c r="B40" s="214"/>
    </row>
  </sheetData>
  <mergeCells count="1">
    <mergeCell ref="A14:A23"/>
  </mergeCells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3:H41"/>
  <sheetViews>
    <sheetView topLeftCell="A7" workbookViewId="0">
      <selection activeCell="E14" sqref="E14"/>
    </sheetView>
  </sheetViews>
  <sheetFormatPr baseColWidth="10" defaultRowHeight="15" x14ac:dyDescent="0.25"/>
  <cols>
    <col min="1" max="1" width="27.28515625" customWidth="1"/>
    <col min="2" max="2" width="36.42578125" customWidth="1"/>
    <col min="3" max="3" width="12.5703125" customWidth="1"/>
    <col min="4" max="4" width="12.5703125" style="162" customWidth="1"/>
  </cols>
  <sheetData>
    <row r="3" spans="1:8" ht="20.25" x14ac:dyDescent="0.3">
      <c r="A3" s="2"/>
      <c r="B3" s="4" t="s">
        <v>0</v>
      </c>
      <c r="C3" s="2"/>
      <c r="D3" s="2"/>
    </row>
    <row r="4" spans="1:8" ht="15.75" x14ac:dyDescent="0.25">
      <c r="A4" s="2"/>
      <c r="B4" s="2"/>
      <c r="C4" s="2"/>
      <c r="D4" s="2"/>
    </row>
    <row r="5" spans="1:8" ht="20.25" x14ac:dyDescent="0.3">
      <c r="A5" s="4"/>
      <c r="B5" s="4" t="s">
        <v>99</v>
      </c>
      <c r="C5" s="2"/>
      <c r="D5" s="2"/>
    </row>
    <row r="6" spans="1:8" ht="20.25" x14ac:dyDescent="0.3">
      <c r="A6" s="4"/>
      <c r="B6" s="2"/>
      <c r="C6" s="2"/>
      <c r="D6" s="2"/>
    </row>
    <row r="7" spans="1:8" ht="15.75" x14ac:dyDescent="0.25">
      <c r="A7" s="3" t="s">
        <v>90</v>
      </c>
      <c r="B7" s="3" t="s">
        <v>100</v>
      </c>
      <c r="C7" s="5"/>
      <c r="D7" s="5"/>
    </row>
    <row r="8" spans="1:8" ht="15.75" x14ac:dyDescent="0.25">
      <c r="A8" s="3" t="s">
        <v>2</v>
      </c>
      <c r="B8" s="3" t="s">
        <v>38</v>
      </c>
      <c r="C8" s="5"/>
      <c r="D8" s="5"/>
    </row>
    <row r="9" spans="1:8" ht="15.75" x14ac:dyDescent="0.25">
      <c r="A9" s="3" t="s">
        <v>4</v>
      </c>
      <c r="B9" s="3" t="s">
        <v>39</v>
      </c>
      <c r="C9" s="5"/>
      <c r="D9" s="5"/>
    </row>
    <row r="10" spans="1:8" ht="16.5" thickBot="1" x14ac:dyDescent="0.3">
      <c r="A10" s="3" t="s">
        <v>5</v>
      </c>
      <c r="B10" s="3" t="s">
        <v>40</v>
      </c>
      <c r="C10" s="5"/>
      <c r="D10" s="5"/>
    </row>
    <row r="11" spans="1:8" ht="16.5" thickBot="1" x14ac:dyDescent="0.3">
      <c r="A11" s="3" t="s">
        <v>6</v>
      </c>
      <c r="B11" s="3" t="s">
        <v>92</v>
      </c>
      <c r="C11" s="5"/>
      <c r="D11" s="5"/>
      <c r="F11" s="29" t="s">
        <v>230</v>
      </c>
      <c r="G11" s="28"/>
      <c r="H11" s="83"/>
    </row>
    <row r="12" spans="1:8" ht="15.75" x14ac:dyDescent="0.25">
      <c r="A12" s="3" t="s">
        <v>69</v>
      </c>
      <c r="B12" s="3" t="s">
        <v>70</v>
      </c>
      <c r="C12" s="5"/>
      <c r="D12" s="5"/>
      <c r="F12" s="12" t="s">
        <v>158</v>
      </c>
      <c r="G12" s="1">
        <v>160</v>
      </c>
      <c r="H12" s="12"/>
    </row>
    <row r="13" spans="1:8" ht="15.75" x14ac:dyDescent="0.25">
      <c r="A13" s="3" t="s">
        <v>8</v>
      </c>
      <c r="B13" s="3"/>
      <c r="C13" s="5"/>
      <c r="D13" s="5"/>
      <c r="E13" s="44" t="s">
        <v>274</v>
      </c>
      <c r="F13" s="12" t="s">
        <v>160</v>
      </c>
      <c r="G13" s="91">
        <f>G12*1000/4.35</f>
        <v>36781.6091954023</v>
      </c>
      <c r="H13" s="12">
        <f>I14*1000/20</f>
        <v>0</v>
      </c>
    </row>
    <row r="14" spans="1:8" ht="15.75" x14ac:dyDescent="0.25">
      <c r="A14" s="332" t="s">
        <v>9</v>
      </c>
      <c r="B14" s="18" t="s">
        <v>93</v>
      </c>
      <c r="C14" s="13">
        <v>2.9999999999999997E-4</v>
      </c>
      <c r="D14" t="s">
        <v>174</v>
      </c>
      <c r="E14" s="162" t="s">
        <v>410</v>
      </c>
      <c r="F14" s="30">
        <f>C14*G13</f>
        <v>11.034482758620689</v>
      </c>
      <c r="G14" s="32"/>
      <c r="H14" s="30"/>
    </row>
    <row r="15" spans="1:8" ht="15.75" x14ac:dyDescent="0.25">
      <c r="A15" s="341"/>
      <c r="B15" s="18" t="s">
        <v>94</v>
      </c>
      <c r="C15" s="13">
        <v>3.8999999999999999E-4</v>
      </c>
      <c r="D15" t="s">
        <v>174</v>
      </c>
      <c r="E15" s="44"/>
      <c r="F15" s="30">
        <f>C15*G13</f>
        <v>14.344827586206897</v>
      </c>
      <c r="G15" s="32"/>
      <c r="H15" s="30"/>
    </row>
    <row r="16" spans="1:8" ht="15.75" x14ac:dyDescent="0.25">
      <c r="A16" s="341"/>
      <c r="B16" s="18" t="s">
        <v>95</v>
      </c>
      <c r="C16" s="13">
        <v>3.6600000000000001E-3</v>
      </c>
      <c r="D16" t="s">
        <v>174</v>
      </c>
      <c r="E16" s="44"/>
      <c r="F16" s="30">
        <f>C16*G13</f>
        <v>134.62068965517241</v>
      </c>
      <c r="G16" s="32"/>
      <c r="H16" s="30"/>
    </row>
    <row r="17" spans="1:8" ht="15.75" x14ac:dyDescent="0.25">
      <c r="A17" s="333"/>
      <c r="B17" s="18" t="s">
        <v>46</v>
      </c>
      <c r="C17" s="13">
        <v>30</v>
      </c>
      <c r="D17" t="s">
        <v>174</v>
      </c>
      <c r="E17" s="44"/>
      <c r="F17" s="31">
        <f>C17*G13</f>
        <v>1103448.2758620689</v>
      </c>
      <c r="G17" s="32"/>
      <c r="H17" s="30"/>
    </row>
    <row r="18" spans="1:8" ht="15.75" x14ac:dyDescent="0.25">
      <c r="A18" s="333"/>
      <c r="B18" s="18" t="s">
        <v>96</v>
      </c>
      <c r="C18" s="13">
        <v>5.718E-3</v>
      </c>
      <c r="D18" t="s">
        <v>174</v>
      </c>
      <c r="E18" s="162" t="s">
        <v>351</v>
      </c>
      <c r="F18" s="31">
        <f>C18*G13</f>
        <v>210.31724137931036</v>
      </c>
      <c r="G18" s="33"/>
      <c r="H18" s="31"/>
    </row>
    <row r="19" spans="1:8" ht="15.75" x14ac:dyDescent="0.25">
      <c r="A19" s="333"/>
      <c r="B19" s="18" t="s">
        <v>48</v>
      </c>
      <c r="C19" s="13">
        <v>1.4339999999999999E-3</v>
      </c>
      <c r="D19" t="s">
        <v>174</v>
      </c>
      <c r="E19" s="162" t="s">
        <v>409</v>
      </c>
      <c r="F19" s="31">
        <f>C19*G13</f>
        <v>52.744827586206895</v>
      </c>
      <c r="G19" s="33"/>
      <c r="H19" s="31"/>
    </row>
    <row r="20" spans="1:8" ht="15.75" x14ac:dyDescent="0.25">
      <c r="A20" s="333"/>
      <c r="B20" s="18" t="s">
        <v>12</v>
      </c>
      <c r="C20" s="13">
        <v>1</v>
      </c>
      <c r="D20" t="s">
        <v>161</v>
      </c>
      <c r="E20" s="162" t="s">
        <v>408</v>
      </c>
      <c r="F20" s="31">
        <f>C20*G13</f>
        <v>36781.6091954023</v>
      </c>
      <c r="G20" s="33"/>
      <c r="H20" s="31"/>
    </row>
    <row r="21" spans="1:8" ht="15.75" x14ac:dyDescent="0.25">
      <c r="A21" s="333"/>
      <c r="B21" s="18" t="s">
        <v>13</v>
      </c>
      <c r="C21" s="13">
        <v>1</v>
      </c>
      <c r="D21" t="s">
        <v>161</v>
      </c>
      <c r="E21" s="162" t="s">
        <v>407</v>
      </c>
      <c r="F21" s="31">
        <f>C21*G13</f>
        <v>36781.6091954023</v>
      </c>
      <c r="G21" s="33"/>
      <c r="H21" s="31"/>
    </row>
    <row r="22" spans="1:8" ht="15.75" x14ac:dyDescent="0.25">
      <c r="A22" s="333"/>
      <c r="B22" s="18" t="s">
        <v>14</v>
      </c>
      <c r="C22" s="13">
        <v>1</v>
      </c>
      <c r="D22" t="s">
        <v>161</v>
      </c>
      <c r="E22" s="162" t="s">
        <v>276</v>
      </c>
      <c r="F22" s="84">
        <f>C22*G13</f>
        <v>36781.6091954023</v>
      </c>
      <c r="H22" s="44"/>
    </row>
    <row r="23" spans="1:8" ht="15.75" x14ac:dyDescent="0.25">
      <c r="A23" s="334"/>
      <c r="B23" s="21" t="s">
        <v>49</v>
      </c>
      <c r="C23" s="14">
        <v>5.0000000000000001E-3</v>
      </c>
      <c r="D23" t="s">
        <v>161</v>
      </c>
      <c r="E23" s="162" t="s">
        <v>349</v>
      </c>
      <c r="F23" s="84">
        <f>C23*G13</f>
        <v>183.90804597701151</v>
      </c>
      <c r="H23" s="44"/>
    </row>
    <row r="25" spans="1:8" x14ac:dyDescent="0.25">
      <c r="A25" s="12" t="s">
        <v>97</v>
      </c>
      <c r="B25" s="20">
        <v>3</v>
      </c>
      <c r="C25" s="1"/>
      <c r="D25" s="1"/>
    </row>
    <row r="26" spans="1:8" x14ac:dyDescent="0.25">
      <c r="A26" s="12" t="s">
        <v>98</v>
      </c>
      <c r="B26" s="20"/>
      <c r="C26" s="1"/>
      <c r="D26" s="1"/>
    </row>
    <row r="27" spans="1:8" x14ac:dyDescent="0.25">
      <c r="A27" s="12" t="s">
        <v>101</v>
      </c>
      <c r="B27" s="20"/>
      <c r="C27" s="1"/>
      <c r="D27" s="1"/>
    </row>
    <row r="28" spans="1:8" x14ac:dyDescent="0.25">
      <c r="A28" s="12" t="s">
        <v>61</v>
      </c>
      <c r="B28" s="20"/>
      <c r="C28" s="1"/>
      <c r="D28" s="1"/>
    </row>
    <row r="29" spans="1:8" x14ac:dyDescent="0.25">
      <c r="A29" s="12" t="s">
        <v>62</v>
      </c>
      <c r="B29" s="20"/>
      <c r="C29" s="1"/>
      <c r="D29" s="1"/>
    </row>
    <row r="30" spans="1:8" x14ac:dyDescent="0.25">
      <c r="A30" s="12" t="s">
        <v>27</v>
      </c>
      <c r="B30" s="20"/>
      <c r="C30" s="1"/>
      <c r="D30" s="1"/>
    </row>
    <row r="31" spans="1:8" x14ac:dyDescent="0.25">
      <c r="A31" s="17" t="s">
        <v>64</v>
      </c>
      <c r="B31" s="20"/>
      <c r="C31" s="1"/>
      <c r="D31" s="1"/>
    </row>
    <row r="33" spans="1:4" ht="15.75" x14ac:dyDescent="0.25">
      <c r="A33" s="124" t="s">
        <v>233</v>
      </c>
      <c r="B33" s="124" t="s">
        <v>233</v>
      </c>
      <c r="C33" s="125" t="s">
        <v>234</v>
      </c>
      <c r="D33" s="125"/>
    </row>
    <row r="34" spans="1:4" ht="15.75" x14ac:dyDescent="0.25">
      <c r="A34" s="122" t="s">
        <v>235</v>
      </c>
      <c r="B34" s="122" t="s">
        <v>236</v>
      </c>
      <c r="C34" s="123" t="s">
        <v>237</v>
      </c>
      <c r="D34" s="123"/>
    </row>
    <row r="35" spans="1:4" ht="15.75" x14ac:dyDescent="0.25">
      <c r="A35" s="122" t="s">
        <v>238</v>
      </c>
      <c r="B35" s="122" t="s">
        <v>239</v>
      </c>
      <c r="C35" s="123" t="s">
        <v>240</v>
      </c>
      <c r="D35" s="123"/>
    </row>
    <row r="36" spans="1:4" x14ac:dyDescent="0.25">
      <c r="A36" s="121"/>
      <c r="B36" s="121"/>
    </row>
    <row r="37" spans="1:4" x14ac:dyDescent="0.25">
      <c r="A37" s="121"/>
      <c r="B37" s="121"/>
    </row>
    <row r="38" spans="1:4" x14ac:dyDescent="0.25">
      <c r="A38" s="121"/>
      <c r="B38" s="121"/>
    </row>
    <row r="39" spans="1:4" x14ac:dyDescent="0.25">
      <c r="A39" s="121"/>
      <c r="B39" s="121"/>
    </row>
    <row r="40" spans="1:4" x14ac:dyDescent="0.25">
      <c r="A40" s="121"/>
      <c r="B40" s="121"/>
    </row>
    <row r="41" spans="1:4" x14ac:dyDescent="0.25">
      <c r="A41" s="121"/>
      <c r="B41" s="121"/>
    </row>
  </sheetData>
  <mergeCells count="1">
    <mergeCell ref="A14:A23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"/>
  <dimension ref="A1:J34"/>
  <sheetViews>
    <sheetView topLeftCell="A28" workbookViewId="0">
      <selection activeCell="G16" sqref="G16"/>
    </sheetView>
  </sheetViews>
  <sheetFormatPr baseColWidth="10" defaultRowHeight="15" x14ac:dyDescent="0.25"/>
  <cols>
    <col min="1" max="1" width="28" customWidth="1"/>
    <col min="2" max="2" width="41.140625" customWidth="1"/>
    <col min="3" max="3" width="15" customWidth="1"/>
    <col min="4" max="4" width="3" style="162" customWidth="1"/>
    <col min="5" max="5" width="11.140625" hidden="1" customWidth="1"/>
    <col min="6" max="6" width="13.42578125" style="162" customWidth="1"/>
    <col min="7" max="7" width="14.140625" customWidth="1"/>
  </cols>
  <sheetData>
    <row r="1" spans="1:10" x14ac:dyDescent="0.25">
      <c r="A1" t="s">
        <v>431</v>
      </c>
    </row>
    <row r="3" spans="1:10" ht="20.25" x14ac:dyDescent="0.3">
      <c r="A3" s="2"/>
      <c r="B3" s="4" t="s">
        <v>0</v>
      </c>
      <c r="C3" s="2"/>
      <c r="D3" s="2"/>
    </row>
    <row r="4" spans="1:10" ht="15.75" x14ac:dyDescent="0.25">
      <c r="A4" s="2"/>
      <c r="B4" s="2"/>
      <c r="C4" s="2"/>
      <c r="D4" s="2"/>
    </row>
    <row r="5" spans="1:10" ht="20.25" x14ac:dyDescent="0.3">
      <c r="A5" s="4"/>
      <c r="B5" s="4" t="s">
        <v>102</v>
      </c>
      <c r="C5" s="2"/>
      <c r="D5" s="2"/>
    </row>
    <row r="6" spans="1:10" ht="20.25" x14ac:dyDescent="0.3">
      <c r="A6" s="4"/>
      <c r="B6" s="2"/>
      <c r="C6" s="2"/>
      <c r="D6" s="2"/>
    </row>
    <row r="7" spans="1:10" ht="15.75" x14ac:dyDescent="0.25">
      <c r="A7" s="3" t="s">
        <v>103</v>
      </c>
      <c r="B7" s="3" t="s">
        <v>104</v>
      </c>
      <c r="C7" s="5"/>
      <c r="D7" s="5"/>
    </row>
    <row r="8" spans="1:10" ht="15.75" x14ac:dyDescent="0.25">
      <c r="A8" s="3" t="s">
        <v>2</v>
      </c>
      <c r="B8" s="3" t="s">
        <v>54</v>
      </c>
      <c r="C8" s="5"/>
      <c r="D8" s="5"/>
    </row>
    <row r="9" spans="1:10" ht="16.5" thickBot="1" x14ac:dyDescent="0.3">
      <c r="A9" s="3" t="s">
        <v>4</v>
      </c>
      <c r="B9" s="3" t="s">
        <v>105</v>
      </c>
      <c r="C9" s="5"/>
      <c r="D9" s="5"/>
      <c r="F9" s="200" t="s">
        <v>485</v>
      </c>
      <c r="G9" s="232" t="s">
        <v>483</v>
      </c>
    </row>
    <row r="10" spans="1:10" ht="16.5" thickBot="1" x14ac:dyDescent="0.3">
      <c r="A10" s="3" t="s">
        <v>5</v>
      </c>
      <c r="B10" s="3" t="s">
        <v>40</v>
      </c>
      <c r="C10" s="5"/>
      <c r="D10" s="5"/>
      <c r="F10" s="234" t="s">
        <v>486</v>
      </c>
      <c r="G10" s="235"/>
      <c r="H10" s="236">
        <v>220</v>
      </c>
    </row>
    <row r="11" spans="1:10" ht="15.75" x14ac:dyDescent="0.25">
      <c r="A11" s="3" t="s">
        <v>6</v>
      </c>
      <c r="B11" s="3" t="s">
        <v>106</v>
      </c>
      <c r="C11" s="5"/>
      <c r="D11" s="5"/>
      <c r="F11" s="233" t="s">
        <v>487</v>
      </c>
      <c r="G11" s="231">
        <v>110</v>
      </c>
      <c r="H11" s="166"/>
    </row>
    <row r="12" spans="1:10" ht="16.5" thickBot="1" x14ac:dyDescent="0.3">
      <c r="A12" s="3" t="s">
        <v>8</v>
      </c>
      <c r="B12" s="3"/>
      <c r="C12" s="5"/>
      <c r="D12" s="5"/>
      <c r="E12" s="189" t="s">
        <v>274</v>
      </c>
      <c r="F12" s="226" t="s">
        <v>484</v>
      </c>
      <c r="G12" s="227">
        <f>G11*1000/10</f>
        <v>11000</v>
      </c>
      <c r="H12" s="228">
        <f>H10*1000/10</f>
        <v>22000</v>
      </c>
    </row>
    <row r="13" spans="1:10" ht="15.75" x14ac:dyDescent="0.25">
      <c r="A13" s="332" t="s">
        <v>9</v>
      </c>
      <c r="B13" s="18" t="s">
        <v>107</v>
      </c>
      <c r="C13" s="13">
        <v>4.0000000000000002E-4</v>
      </c>
      <c r="D13" t="s">
        <v>174</v>
      </c>
      <c r="E13" s="44" t="s">
        <v>481</v>
      </c>
      <c r="F13" s="121"/>
      <c r="G13" s="190">
        <f>C13*G12</f>
        <v>4.4000000000000004</v>
      </c>
      <c r="H13" s="229">
        <f>G13*2</f>
        <v>8.8000000000000007</v>
      </c>
    </row>
    <row r="14" spans="1:10" ht="15.75" x14ac:dyDescent="0.25">
      <c r="A14" s="333"/>
      <c r="B14" s="18" t="s">
        <v>108</v>
      </c>
      <c r="C14" s="13">
        <v>8.8888000000000005E-3</v>
      </c>
      <c r="D14" t="s">
        <v>174</v>
      </c>
      <c r="E14" s="44" t="s">
        <v>482</v>
      </c>
      <c r="F14" s="121"/>
      <c r="G14" s="30">
        <f>C14*G12</f>
        <v>97.776800000000009</v>
      </c>
      <c r="H14" s="229">
        <v>195.55</v>
      </c>
      <c r="J14" s="162"/>
    </row>
    <row r="15" spans="1:10" ht="15.75" x14ac:dyDescent="0.25">
      <c r="A15" s="333"/>
      <c r="B15" s="18" t="s">
        <v>73</v>
      </c>
      <c r="C15" s="13">
        <v>1.0119999999999999E-4</v>
      </c>
      <c r="D15" t="s">
        <v>174</v>
      </c>
      <c r="E15" s="44" t="s">
        <v>345</v>
      </c>
      <c r="F15" s="121"/>
      <c r="G15" s="30">
        <f>C15*G12</f>
        <v>1.1132</v>
      </c>
      <c r="H15" s="229">
        <v>2.23</v>
      </c>
      <c r="J15" s="162"/>
    </row>
    <row r="16" spans="1:10" ht="15.75" x14ac:dyDescent="0.25">
      <c r="A16" s="333"/>
      <c r="B16" s="18" t="s">
        <v>488</v>
      </c>
      <c r="C16" s="13" t="e">
        <f>G16/G12</f>
        <v>#VALUE!</v>
      </c>
      <c r="D16" t="s">
        <v>174</v>
      </c>
      <c r="E16" s="44" t="s">
        <v>489</v>
      </c>
      <c r="F16" s="121"/>
      <c r="G16" s="30" t="s">
        <v>364</v>
      </c>
      <c r="H16" s="229">
        <v>13.07</v>
      </c>
      <c r="J16" s="162"/>
    </row>
    <row r="17" spans="1:8" s="162" customFormat="1" ht="15.75" x14ac:dyDescent="0.25">
      <c r="A17" s="333"/>
      <c r="B17" s="18" t="s">
        <v>44</v>
      </c>
      <c r="C17" s="13">
        <f>G17/G12</f>
        <v>1.5909090909090907E-5</v>
      </c>
      <c r="D17" s="162" t="s">
        <v>159</v>
      </c>
      <c r="E17" s="44" t="s">
        <v>285</v>
      </c>
      <c r="F17" s="121"/>
      <c r="G17" s="181">
        <v>0.17499999999999999</v>
      </c>
      <c r="H17" s="229">
        <v>0.35</v>
      </c>
    </row>
    <row r="18" spans="1:8" ht="15.75" x14ac:dyDescent="0.25">
      <c r="A18" s="333"/>
      <c r="B18" s="18" t="s">
        <v>47</v>
      </c>
      <c r="C18" s="111">
        <v>3.4120000000000001E-3</v>
      </c>
      <c r="D18" t="s">
        <v>174</v>
      </c>
      <c r="E18" s="44" t="s">
        <v>315</v>
      </c>
      <c r="G18" s="30" t="s">
        <v>429</v>
      </c>
      <c r="H18" s="190">
        <f t="shared" ref="H18:H23" si="0">C18*H$12</f>
        <v>75.064000000000007</v>
      </c>
    </row>
    <row r="19" spans="1:8" ht="15.75" x14ac:dyDescent="0.25">
      <c r="A19" s="333"/>
      <c r="B19" s="18" t="s">
        <v>48</v>
      </c>
      <c r="C19" s="13">
        <v>9.5600000000000004E-4</v>
      </c>
      <c r="D19" t="s">
        <v>174</v>
      </c>
      <c r="E19" s="44" t="s">
        <v>411</v>
      </c>
      <c r="G19" s="30" t="s">
        <v>429</v>
      </c>
      <c r="H19" s="190">
        <f t="shared" si="0"/>
        <v>21.032</v>
      </c>
    </row>
    <row r="20" spans="1:8" ht="15.75" x14ac:dyDescent="0.25">
      <c r="A20" s="333"/>
      <c r="B20" s="18" t="s">
        <v>12</v>
      </c>
      <c r="C20" s="13">
        <v>1</v>
      </c>
      <c r="D20" t="s">
        <v>161</v>
      </c>
      <c r="E20" s="44" t="s">
        <v>412</v>
      </c>
      <c r="G20" s="30" t="s">
        <v>429</v>
      </c>
      <c r="H20" s="190">
        <f t="shared" si="0"/>
        <v>22000</v>
      </c>
    </row>
    <row r="21" spans="1:8" ht="15.75" x14ac:dyDescent="0.25">
      <c r="A21" s="333"/>
      <c r="B21" s="18" t="s">
        <v>13</v>
      </c>
      <c r="C21" s="13">
        <v>1</v>
      </c>
      <c r="D21" t="s">
        <v>161</v>
      </c>
      <c r="E21" s="44" t="s">
        <v>413</v>
      </c>
      <c r="G21" s="30" t="s">
        <v>429</v>
      </c>
      <c r="H21" s="190">
        <f t="shared" si="0"/>
        <v>22000</v>
      </c>
    </row>
    <row r="22" spans="1:8" ht="15.75" x14ac:dyDescent="0.25">
      <c r="A22" s="333"/>
      <c r="B22" s="18" t="s">
        <v>14</v>
      </c>
      <c r="C22" s="13">
        <v>1</v>
      </c>
      <c r="D22" t="s">
        <v>161</v>
      </c>
      <c r="E22" s="44" t="s">
        <v>276</v>
      </c>
      <c r="G22" s="30" t="s">
        <v>429</v>
      </c>
      <c r="H22" s="190">
        <f t="shared" si="0"/>
        <v>22000</v>
      </c>
    </row>
    <row r="23" spans="1:8" ht="15.75" x14ac:dyDescent="0.25">
      <c r="A23" s="334"/>
      <c r="B23" s="21" t="s">
        <v>111</v>
      </c>
      <c r="C23" s="14">
        <v>5.0000000000000001E-3</v>
      </c>
      <c r="D23" t="s">
        <v>161</v>
      </c>
      <c r="E23" s="44" t="s">
        <v>380</v>
      </c>
      <c r="G23" s="30" t="s">
        <v>429</v>
      </c>
      <c r="H23" s="190">
        <f t="shared" si="0"/>
        <v>110</v>
      </c>
    </row>
    <row r="24" spans="1:8" x14ac:dyDescent="0.25">
      <c r="G24" s="86"/>
    </row>
    <row r="27" spans="1:8" ht="15.75" x14ac:dyDescent="0.25">
      <c r="A27" s="124" t="s">
        <v>233</v>
      </c>
      <c r="B27" s="124" t="s">
        <v>233</v>
      </c>
      <c r="C27" s="125" t="s">
        <v>234</v>
      </c>
      <c r="D27" s="125"/>
    </row>
    <row r="28" spans="1:8" ht="15.75" x14ac:dyDescent="0.25">
      <c r="A28" s="122" t="s">
        <v>235</v>
      </c>
      <c r="B28" s="122" t="s">
        <v>236</v>
      </c>
      <c r="C28" s="123" t="s">
        <v>237</v>
      </c>
      <c r="D28" s="123"/>
    </row>
    <row r="29" spans="1:8" ht="15.75" x14ac:dyDescent="0.25">
      <c r="A29" s="122" t="s">
        <v>238</v>
      </c>
      <c r="B29" s="122" t="s">
        <v>239</v>
      </c>
      <c r="C29" s="123" t="s">
        <v>240</v>
      </c>
      <c r="D29" s="123"/>
    </row>
    <row r="30" spans="1:8" x14ac:dyDescent="0.25">
      <c r="A30" s="121"/>
      <c r="B30" s="121"/>
    </row>
    <row r="31" spans="1:8" x14ac:dyDescent="0.25">
      <c r="A31" s="121"/>
      <c r="B31" s="121"/>
    </row>
    <row r="32" spans="1:8" x14ac:dyDescent="0.25">
      <c r="A32" s="121"/>
      <c r="B32" s="121"/>
    </row>
    <row r="33" spans="1:2" x14ac:dyDescent="0.25">
      <c r="A33" s="121"/>
      <c r="B33" s="121"/>
    </row>
    <row r="34" spans="1:2" x14ac:dyDescent="0.25">
      <c r="A34" s="121"/>
      <c r="B34" s="121"/>
    </row>
  </sheetData>
  <mergeCells count="1">
    <mergeCell ref="A13:A23"/>
  </mergeCells>
  <pageMargins left="0.7" right="0.7" top="0.75" bottom="0.75" header="0.3" footer="0.3"/>
  <pageSetup paperSize="9" orientation="landscape" r:id="rId1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/>
  <dimension ref="A3:J33"/>
  <sheetViews>
    <sheetView topLeftCell="B4" workbookViewId="0">
      <selection activeCell="G16" sqref="G16"/>
    </sheetView>
  </sheetViews>
  <sheetFormatPr baseColWidth="10" defaultRowHeight="15" x14ac:dyDescent="0.25"/>
  <cols>
    <col min="1" max="1" width="21.5703125" style="162" customWidth="1"/>
    <col min="2" max="2" width="41.140625" style="162" customWidth="1"/>
    <col min="3" max="3" width="15" style="162" customWidth="1"/>
    <col min="4" max="4" width="2.85546875" style="162" customWidth="1"/>
    <col min="5" max="5" width="10.28515625" style="162" customWidth="1"/>
    <col min="6" max="6" width="11.42578125" style="162"/>
    <col min="7" max="7" width="7.42578125" style="162" customWidth="1"/>
    <col min="8" max="8" width="10" style="162" customWidth="1"/>
    <col min="9" max="9" width="11.42578125" style="162"/>
    <col min="10" max="10" width="0" style="162" hidden="1" customWidth="1"/>
    <col min="11" max="16384" width="11.42578125" style="162"/>
  </cols>
  <sheetData>
    <row r="3" spans="1:10" ht="20.25" x14ac:dyDescent="0.3">
      <c r="A3" s="2"/>
      <c r="B3" s="4" t="s">
        <v>0</v>
      </c>
      <c r="C3" s="2"/>
      <c r="D3" s="2"/>
    </row>
    <row r="4" spans="1:10" ht="15.75" x14ac:dyDescent="0.25">
      <c r="A4" s="2"/>
      <c r="B4" s="2"/>
      <c r="C4" s="2"/>
      <c r="D4" s="2"/>
    </row>
    <row r="5" spans="1:10" ht="20.25" x14ac:dyDescent="0.3">
      <c r="A5" s="4"/>
      <c r="B5" s="4" t="s">
        <v>430</v>
      </c>
      <c r="C5" s="2"/>
      <c r="D5" s="2"/>
    </row>
    <row r="6" spans="1:10" ht="20.25" x14ac:dyDescent="0.3">
      <c r="A6" s="4"/>
      <c r="B6" s="2"/>
      <c r="C6" s="2"/>
      <c r="D6" s="2"/>
    </row>
    <row r="7" spans="1:10" ht="15.75" x14ac:dyDescent="0.25">
      <c r="A7" s="3" t="s">
        <v>103</v>
      </c>
      <c r="B7" s="3" t="s">
        <v>104</v>
      </c>
      <c r="C7" s="5"/>
      <c r="D7" s="5"/>
    </row>
    <row r="8" spans="1:10" ht="15.75" x14ac:dyDescent="0.25">
      <c r="A8" s="3" t="s">
        <v>2</v>
      </c>
      <c r="B8" s="3" t="s">
        <v>54</v>
      </c>
      <c r="C8" s="5"/>
      <c r="D8" s="5"/>
    </row>
    <row r="9" spans="1:10" ht="16.5" thickBot="1" x14ac:dyDescent="0.3">
      <c r="A9" s="3" t="s">
        <v>4</v>
      </c>
      <c r="B9" s="3" t="s">
        <v>105</v>
      </c>
      <c r="C9" s="5"/>
      <c r="D9" s="5"/>
    </row>
    <row r="10" spans="1:10" ht="16.5" thickBot="1" x14ac:dyDescent="0.3">
      <c r="A10" s="3" t="s">
        <v>5</v>
      </c>
      <c r="B10" s="3" t="s">
        <v>40</v>
      </c>
      <c r="C10" s="5"/>
      <c r="D10" s="5"/>
      <c r="F10" s="29" t="s">
        <v>230</v>
      </c>
      <c r="G10" s="28"/>
      <c r="H10" s="83" t="s">
        <v>433</v>
      </c>
      <c r="I10" s="183" t="s">
        <v>434</v>
      </c>
    </row>
    <row r="11" spans="1:10" ht="15.75" x14ac:dyDescent="0.25">
      <c r="A11" s="3" t="s">
        <v>6</v>
      </c>
      <c r="B11" s="3" t="s">
        <v>106</v>
      </c>
      <c r="C11" s="5"/>
      <c r="D11" s="5"/>
      <c r="F11" s="12" t="s">
        <v>158</v>
      </c>
      <c r="G11" s="1">
        <v>110</v>
      </c>
      <c r="H11" s="12">
        <v>6.75</v>
      </c>
      <c r="I11" s="162">
        <v>16</v>
      </c>
      <c r="J11" s="162">
        <f>I11/G11</f>
        <v>0.14545454545454545</v>
      </c>
    </row>
    <row r="12" spans="1:10" ht="15.75" x14ac:dyDescent="0.25">
      <c r="A12" s="3" t="s">
        <v>8</v>
      </c>
      <c r="B12" s="3"/>
      <c r="C12" s="5"/>
      <c r="D12" s="5"/>
      <c r="E12" s="44" t="s">
        <v>274</v>
      </c>
      <c r="F12" s="12" t="s">
        <v>160</v>
      </c>
      <c r="G12" s="91">
        <f>G11*1000/10</f>
        <v>11000</v>
      </c>
      <c r="H12" s="12" t="s">
        <v>429</v>
      </c>
    </row>
    <row r="13" spans="1:10" ht="15.75" x14ac:dyDescent="0.25">
      <c r="A13" s="332" t="s">
        <v>9</v>
      </c>
      <c r="B13" s="18" t="s">
        <v>107</v>
      </c>
      <c r="C13" s="13">
        <v>4.0000000000000002E-4</v>
      </c>
      <c r="D13" s="162" t="s">
        <v>174</v>
      </c>
      <c r="E13" s="44"/>
      <c r="F13" s="30">
        <f>C13*G12</f>
        <v>4.4000000000000004</v>
      </c>
      <c r="G13" s="32"/>
      <c r="H13" s="181">
        <f>F13/26</f>
        <v>0.16923076923076924</v>
      </c>
      <c r="I13" s="181">
        <f>F13*J11</f>
        <v>0.64</v>
      </c>
    </row>
    <row r="14" spans="1:10" ht="15.75" x14ac:dyDescent="0.25">
      <c r="A14" s="333"/>
      <c r="B14" s="18" t="s">
        <v>108</v>
      </c>
      <c r="C14" s="13">
        <v>8.8888000000000005E-3</v>
      </c>
      <c r="D14" s="162" t="s">
        <v>174</v>
      </c>
      <c r="E14" s="44"/>
      <c r="F14" s="30">
        <f>C14*G12</f>
        <v>97.776800000000009</v>
      </c>
      <c r="G14" s="32"/>
      <c r="H14" s="181">
        <f>F14/26</f>
        <v>3.760646153846154</v>
      </c>
      <c r="I14" s="181">
        <f>F14*J11</f>
        <v>14.22208</v>
      </c>
    </row>
    <row r="15" spans="1:10" ht="15.75" x14ac:dyDescent="0.25">
      <c r="A15" s="333"/>
      <c r="B15" s="18" t="s">
        <v>73</v>
      </c>
      <c r="C15" s="13">
        <v>1.0119999999999999E-4</v>
      </c>
      <c r="D15" s="162" t="s">
        <v>174</v>
      </c>
      <c r="E15" s="44"/>
      <c r="F15" s="30">
        <f>C15*G12</f>
        <v>1.1132</v>
      </c>
      <c r="G15" s="32"/>
      <c r="H15" s="181">
        <f>F15/26</f>
        <v>4.2815384615384616E-2</v>
      </c>
      <c r="I15" s="181">
        <f>F15*J11</f>
        <v>0.16191999999999998</v>
      </c>
    </row>
    <row r="16" spans="1:10" ht="15.75" x14ac:dyDescent="0.25">
      <c r="A16" s="333"/>
      <c r="B16" s="18" t="s">
        <v>428</v>
      </c>
      <c r="C16" s="13">
        <v>6.0999999999999997E-4</v>
      </c>
      <c r="D16" s="162" t="s">
        <v>174</v>
      </c>
      <c r="E16" s="44"/>
      <c r="F16" s="30">
        <f>C16*G12</f>
        <v>6.71</v>
      </c>
      <c r="G16" s="230">
        <f>F16-0.176</f>
        <v>6.5339999999999998</v>
      </c>
      <c r="H16" s="181">
        <f>F16/26</f>
        <v>0.25807692307692309</v>
      </c>
      <c r="I16" s="181">
        <f>F16*J11</f>
        <v>0.97599999999999998</v>
      </c>
    </row>
    <row r="17" spans="1:8" ht="15.75" x14ac:dyDescent="0.25">
      <c r="A17" s="333"/>
      <c r="B17" s="18" t="s">
        <v>47</v>
      </c>
      <c r="C17" s="111">
        <v>3.4120000000000001E-3</v>
      </c>
      <c r="D17" s="162" t="s">
        <v>174</v>
      </c>
      <c r="E17" s="162" t="s">
        <v>315</v>
      </c>
      <c r="F17" s="31">
        <f>C17*G12</f>
        <v>37.532000000000004</v>
      </c>
      <c r="G17" s="33"/>
      <c r="H17" s="30" t="s">
        <v>429</v>
      </c>
    </row>
    <row r="18" spans="1:8" ht="15.75" x14ac:dyDescent="0.25">
      <c r="A18" s="333"/>
      <c r="B18" s="18" t="s">
        <v>48</v>
      </c>
      <c r="C18" s="13">
        <v>9.5600000000000004E-4</v>
      </c>
      <c r="D18" s="162" t="s">
        <v>174</v>
      </c>
      <c r="E18" s="162" t="s">
        <v>411</v>
      </c>
      <c r="F18" s="31">
        <f>C18*G12</f>
        <v>10.516</v>
      </c>
      <c r="G18" s="33"/>
      <c r="H18" s="30" t="s">
        <v>429</v>
      </c>
    </row>
    <row r="19" spans="1:8" ht="15.75" x14ac:dyDescent="0.25">
      <c r="A19" s="333"/>
      <c r="B19" s="18" t="s">
        <v>12</v>
      </c>
      <c r="C19" s="13">
        <v>1</v>
      </c>
      <c r="D19" s="162" t="s">
        <v>161</v>
      </c>
      <c r="E19" s="162" t="s">
        <v>412</v>
      </c>
      <c r="F19" s="31">
        <f>C19*G12</f>
        <v>11000</v>
      </c>
      <c r="G19" s="33"/>
      <c r="H19" s="30" t="s">
        <v>429</v>
      </c>
    </row>
    <row r="20" spans="1:8" ht="15.75" x14ac:dyDescent="0.25">
      <c r="A20" s="333"/>
      <c r="B20" s="18" t="s">
        <v>13</v>
      </c>
      <c r="C20" s="13">
        <v>1</v>
      </c>
      <c r="D20" s="162" t="s">
        <v>161</v>
      </c>
      <c r="E20" s="162" t="s">
        <v>413</v>
      </c>
      <c r="F20" s="31">
        <f>C20*G12</f>
        <v>11000</v>
      </c>
      <c r="G20" s="33"/>
      <c r="H20" s="30" t="s">
        <v>429</v>
      </c>
    </row>
    <row r="21" spans="1:8" ht="15.75" x14ac:dyDescent="0.25">
      <c r="A21" s="333"/>
      <c r="B21" s="18" t="s">
        <v>14</v>
      </c>
      <c r="C21" s="13">
        <v>1</v>
      </c>
      <c r="D21" s="162" t="s">
        <v>161</v>
      </c>
      <c r="E21" s="162" t="s">
        <v>276</v>
      </c>
      <c r="F21" s="84">
        <f>C21*G12</f>
        <v>11000</v>
      </c>
      <c r="H21" s="30" t="s">
        <v>429</v>
      </c>
    </row>
    <row r="22" spans="1:8" ht="15.75" x14ac:dyDescent="0.25">
      <c r="A22" s="334"/>
      <c r="B22" s="21" t="s">
        <v>111</v>
      </c>
      <c r="C22" s="14">
        <v>5.0000000000000001E-3</v>
      </c>
      <c r="D22" s="162" t="s">
        <v>161</v>
      </c>
      <c r="E22" s="162" t="s">
        <v>380</v>
      </c>
      <c r="F22" s="84">
        <f>C22*G12</f>
        <v>55</v>
      </c>
      <c r="H22" s="30" t="s">
        <v>429</v>
      </c>
    </row>
    <row r="26" spans="1:8" ht="15.75" x14ac:dyDescent="0.25">
      <c r="A26" s="124" t="s">
        <v>233</v>
      </c>
      <c r="B26" s="124" t="s">
        <v>233</v>
      </c>
      <c r="C26" s="125" t="s">
        <v>234</v>
      </c>
      <c r="D26" s="125"/>
    </row>
    <row r="27" spans="1:8" ht="15.75" x14ac:dyDescent="0.25">
      <c r="A27" s="122" t="s">
        <v>235</v>
      </c>
      <c r="B27" s="122" t="s">
        <v>236</v>
      </c>
      <c r="C27" s="123" t="s">
        <v>237</v>
      </c>
      <c r="D27" s="123"/>
    </row>
    <row r="28" spans="1:8" ht="15.75" x14ac:dyDescent="0.25">
      <c r="A28" s="122" t="s">
        <v>238</v>
      </c>
      <c r="B28" s="122" t="s">
        <v>239</v>
      </c>
      <c r="C28" s="123" t="s">
        <v>240</v>
      </c>
      <c r="D28" s="123"/>
    </row>
    <row r="29" spans="1:8" x14ac:dyDescent="0.25">
      <c r="A29" s="121"/>
      <c r="B29" s="121"/>
    </row>
    <row r="30" spans="1:8" x14ac:dyDescent="0.25">
      <c r="A30" s="121"/>
      <c r="B30" s="121"/>
    </row>
    <row r="31" spans="1:8" x14ac:dyDescent="0.25">
      <c r="A31" s="121"/>
      <c r="B31" s="121"/>
    </row>
    <row r="32" spans="1:8" x14ac:dyDescent="0.25">
      <c r="A32" s="121"/>
      <c r="B32" s="121"/>
    </row>
    <row r="33" spans="1:2" x14ac:dyDescent="0.25">
      <c r="A33" s="121"/>
      <c r="B33" s="121"/>
    </row>
  </sheetData>
  <mergeCells count="1">
    <mergeCell ref="A13:A22"/>
  </mergeCells>
  <pageMargins left="0.7" right="0.7" top="0.75" bottom="0.75" header="0.3" footer="0.3"/>
  <pageSetup paperSize="9" orientation="landscape" r:id="rId1"/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6"/>
  <dimension ref="A1:I31"/>
  <sheetViews>
    <sheetView workbookViewId="0">
      <selection activeCell="F27" sqref="F27"/>
    </sheetView>
  </sheetViews>
  <sheetFormatPr baseColWidth="10" defaultRowHeight="15" x14ac:dyDescent="0.25"/>
  <cols>
    <col min="1" max="1" width="23.140625" customWidth="1"/>
    <col min="2" max="2" width="28.42578125" customWidth="1"/>
    <col min="3" max="3" width="11.28515625" customWidth="1"/>
    <col min="4" max="4" width="12.85546875" style="162" customWidth="1"/>
    <col min="7" max="7" width="9.7109375" customWidth="1"/>
  </cols>
  <sheetData>
    <row r="1" spans="1:9" x14ac:dyDescent="0.25">
      <c r="A1" t="s">
        <v>431</v>
      </c>
    </row>
    <row r="3" spans="1:9" ht="20.25" x14ac:dyDescent="0.3">
      <c r="A3" s="2"/>
      <c r="B3" s="4" t="s">
        <v>0</v>
      </c>
      <c r="C3" s="2"/>
      <c r="D3" s="2"/>
    </row>
    <row r="4" spans="1:9" ht="15.75" x14ac:dyDescent="0.25">
      <c r="A4" s="2"/>
      <c r="B4" s="2"/>
      <c r="C4" s="2"/>
      <c r="D4" s="2"/>
    </row>
    <row r="5" spans="1:9" ht="20.25" x14ac:dyDescent="0.3">
      <c r="A5" s="1"/>
      <c r="B5" s="4" t="s">
        <v>112</v>
      </c>
      <c r="C5" s="2"/>
      <c r="D5" s="2"/>
    </row>
    <row r="6" spans="1:9" ht="20.25" x14ac:dyDescent="0.3">
      <c r="A6" s="4"/>
      <c r="B6" s="2"/>
      <c r="C6" s="2"/>
      <c r="D6" s="2"/>
    </row>
    <row r="7" spans="1:9" ht="15.75" x14ac:dyDescent="0.25">
      <c r="A7" s="3" t="s">
        <v>1</v>
      </c>
      <c r="B7" s="3" t="s">
        <v>29</v>
      </c>
      <c r="C7" s="5"/>
      <c r="D7" s="5"/>
    </row>
    <row r="8" spans="1:9" ht="15.75" x14ac:dyDescent="0.25">
      <c r="A8" s="3" t="s">
        <v>2</v>
      </c>
      <c r="B8" s="3" t="s">
        <v>3</v>
      </c>
      <c r="C8" s="5"/>
      <c r="D8" s="5"/>
    </row>
    <row r="9" spans="1:9" ht="16.5" thickBot="1" x14ac:dyDescent="0.3">
      <c r="A9" s="3" t="s">
        <v>4</v>
      </c>
      <c r="B9" s="3" t="s">
        <v>30</v>
      </c>
      <c r="C9" s="5"/>
      <c r="D9" s="5"/>
    </row>
    <row r="10" spans="1:9" ht="16.5" thickBot="1" x14ac:dyDescent="0.3">
      <c r="A10" s="3" t="s">
        <v>5</v>
      </c>
      <c r="B10" s="3" t="s">
        <v>31</v>
      </c>
      <c r="C10" s="5"/>
      <c r="D10" s="5"/>
      <c r="F10" s="29" t="s">
        <v>156</v>
      </c>
      <c r="G10" s="28"/>
      <c r="H10" s="34" t="s">
        <v>157</v>
      </c>
    </row>
    <row r="11" spans="1:9" ht="15.75" x14ac:dyDescent="0.25">
      <c r="A11" s="3" t="s">
        <v>6</v>
      </c>
      <c r="B11" s="3" t="s">
        <v>113</v>
      </c>
      <c r="C11" s="5"/>
      <c r="D11" s="5"/>
      <c r="F11" s="12" t="s">
        <v>158</v>
      </c>
      <c r="G11" s="91"/>
      <c r="H11" s="17" t="s">
        <v>158</v>
      </c>
      <c r="I11" s="196">
        <v>214.5</v>
      </c>
    </row>
    <row r="12" spans="1:9" ht="16.5" thickBot="1" x14ac:dyDescent="0.3">
      <c r="A12" s="3" t="s">
        <v>8</v>
      </c>
      <c r="B12" s="3"/>
      <c r="C12" s="5"/>
      <c r="D12" s="5"/>
      <c r="E12" s="44" t="s">
        <v>274</v>
      </c>
      <c r="F12" s="132" t="s">
        <v>160</v>
      </c>
      <c r="G12" s="91"/>
      <c r="H12" s="17">
        <f>I11*1000/16.5</f>
        <v>13000</v>
      </c>
      <c r="I12" s="196"/>
    </row>
    <row r="13" spans="1:9" ht="15.75" x14ac:dyDescent="0.25">
      <c r="A13" s="329" t="s">
        <v>9</v>
      </c>
      <c r="B13" s="11" t="s">
        <v>32</v>
      </c>
      <c r="C13" s="7">
        <v>1.55E-2</v>
      </c>
      <c r="D13" t="s">
        <v>174</v>
      </c>
      <c r="E13" s="44" t="s">
        <v>289</v>
      </c>
      <c r="F13" s="344" t="s">
        <v>243</v>
      </c>
      <c r="G13" s="345"/>
      <c r="H13" s="128">
        <f>C13*H12</f>
        <v>201.5</v>
      </c>
      <c r="I13" s="196"/>
    </row>
    <row r="14" spans="1:9" ht="15.75" x14ac:dyDescent="0.25">
      <c r="A14" s="330"/>
      <c r="B14" s="6" t="s">
        <v>114</v>
      </c>
      <c r="C14" s="8">
        <v>1E-3</v>
      </c>
      <c r="D14" t="s">
        <v>174</v>
      </c>
      <c r="E14" s="44" t="s">
        <v>417</v>
      </c>
      <c r="F14" s="346"/>
      <c r="G14" s="347"/>
      <c r="H14" s="128">
        <f>C14*H12</f>
        <v>13</v>
      </c>
      <c r="I14" s="196"/>
    </row>
    <row r="15" spans="1:9" ht="15.75" x14ac:dyDescent="0.25">
      <c r="A15" s="330"/>
      <c r="B15" s="6" t="s">
        <v>10</v>
      </c>
      <c r="C15" s="8">
        <v>1.818E-3</v>
      </c>
      <c r="D15" t="s">
        <v>174</v>
      </c>
      <c r="E15" s="44" t="s">
        <v>291</v>
      </c>
      <c r="F15" s="346"/>
      <c r="G15" s="347"/>
      <c r="H15" s="128">
        <f>C15*H12</f>
        <v>23.634</v>
      </c>
      <c r="I15" s="196"/>
    </row>
    <row r="16" spans="1:9" ht="15.75" x14ac:dyDescent="0.25">
      <c r="A16" s="330"/>
      <c r="B16" s="6" t="s">
        <v>11</v>
      </c>
      <c r="C16" s="8">
        <v>1.6559999999999999E-3</v>
      </c>
      <c r="D16" t="s">
        <v>174</v>
      </c>
      <c r="E16" s="44" t="s">
        <v>414</v>
      </c>
      <c r="F16" s="346"/>
      <c r="G16" s="347"/>
      <c r="H16" s="128">
        <f>C16*H12</f>
        <v>21.527999999999999</v>
      </c>
      <c r="I16" s="196"/>
    </row>
    <row r="17" spans="1:9" ht="15.75" x14ac:dyDescent="0.25">
      <c r="A17" s="330"/>
      <c r="B17" s="6" t="s">
        <v>12</v>
      </c>
      <c r="C17" s="8">
        <v>1</v>
      </c>
      <c r="D17" t="s">
        <v>161</v>
      </c>
      <c r="E17" s="44" t="s">
        <v>415</v>
      </c>
      <c r="F17" s="346"/>
      <c r="G17" s="347"/>
      <c r="H17" s="175">
        <f>C17*H12</f>
        <v>13000</v>
      </c>
      <c r="I17" s="196"/>
    </row>
    <row r="18" spans="1:9" ht="15.75" x14ac:dyDescent="0.25">
      <c r="A18" s="330"/>
      <c r="B18" s="6" t="s">
        <v>13</v>
      </c>
      <c r="C18" s="8">
        <v>1</v>
      </c>
      <c r="D18" t="s">
        <v>161</v>
      </c>
      <c r="E18" s="44" t="s">
        <v>416</v>
      </c>
      <c r="F18" s="346"/>
      <c r="G18" s="347"/>
      <c r="H18" s="175">
        <f>C18*H12</f>
        <v>13000</v>
      </c>
      <c r="I18" s="196"/>
    </row>
    <row r="19" spans="1:9" ht="15.75" x14ac:dyDescent="0.25">
      <c r="A19" s="330"/>
      <c r="B19" s="6" t="s">
        <v>14</v>
      </c>
      <c r="C19" s="8">
        <v>1</v>
      </c>
      <c r="D19" t="s">
        <v>161</v>
      </c>
      <c r="E19" s="44" t="s">
        <v>276</v>
      </c>
      <c r="F19" s="346"/>
      <c r="G19" s="347"/>
      <c r="H19" s="175">
        <f>C19*H12</f>
        <v>13000</v>
      </c>
      <c r="I19" s="196"/>
    </row>
    <row r="20" spans="1:9" ht="15.75" thickBot="1" x14ac:dyDescent="0.3">
      <c r="A20" s="331"/>
      <c r="B20" s="23" t="s">
        <v>15</v>
      </c>
      <c r="C20" s="24">
        <v>0.01</v>
      </c>
      <c r="D20" t="s">
        <v>161</v>
      </c>
      <c r="E20" s="44" t="s">
        <v>281</v>
      </c>
      <c r="F20" s="348"/>
      <c r="G20" s="349"/>
      <c r="H20" s="176">
        <f>C20*H12</f>
        <v>130</v>
      </c>
      <c r="I20" s="196"/>
    </row>
    <row r="21" spans="1:9" x14ac:dyDescent="0.25">
      <c r="F21" s="87"/>
      <c r="H21" s="92"/>
    </row>
    <row r="23" spans="1:9" ht="15.75" x14ac:dyDescent="0.25">
      <c r="A23" s="124" t="s">
        <v>233</v>
      </c>
      <c r="B23" s="124" t="s">
        <v>233</v>
      </c>
      <c r="C23" s="125" t="s">
        <v>234</v>
      </c>
      <c r="D23" s="125"/>
    </row>
    <row r="24" spans="1:9" ht="15.75" x14ac:dyDescent="0.25">
      <c r="A24" s="122" t="s">
        <v>235</v>
      </c>
      <c r="B24" s="122" t="s">
        <v>236</v>
      </c>
      <c r="C24" s="123" t="s">
        <v>237</v>
      </c>
      <c r="D24" s="123"/>
    </row>
    <row r="25" spans="1:9" ht="15.75" x14ac:dyDescent="0.25">
      <c r="A25" s="122" t="s">
        <v>238</v>
      </c>
      <c r="B25" s="122" t="s">
        <v>239</v>
      </c>
      <c r="C25" s="123" t="s">
        <v>240</v>
      </c>
      <c r="D25" s="123"/>
    </row>
    <row r="26" spans="1:9" x14ac:dyDescent="0.25">
      <c r="A26" s="121"/>
      <c r="B26" s="121"/>
    </row>
    <row r="27" spans="1:9" x14ac:dyDescent="0.25">
      <c r="A27" s="121"/>
      <c r="B27" s="121"/>
    </row>
    <row r="28" spans="1:9" x14ac:dyDescent="0.25">
      <c r="A28" s="121"/>
      <c r="B28" s="121"/>
    </row>
    <row r="29" spans="1:9" x14ac:dyDescent="0.25">
      <c r="A29" s="121"/>
      <c r="B29" s="121"/>
    </row>
    <row r="30" spans="1:9" x14ac:dyDescent="0.25">
      <c r="A30" s="121"/>
      <c r="B30" s="121"/>
    </row>
    <row r="31" spans="1:9" x14ac:dyDescent="0.25">
      <c r="A31" s="121"/>
      <c r="B31" s="121"/>
    </row>
  </sheetData>
  <mergeCells count="2">
    <mergeCell ref="A13:A20"/>
    <mergeCell ref="F13:G20"/>
  </mergeCells>
  <pageMargins left="0.7" right="0.7" top="0.75" bottom="0.75" header="0.3" footer="0.3"/>
  <pageSetup paperSize="9" orientation="landscape" r:id="rId1"/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H22"/>
  <sheetViews>
    <sheetView workbookViewId="0">
      <selection activeCell="F14" sqref="F14"/>
    </sheetView>
  </sheetViews>
  <sheetFormatPr baseColWidth="10" defaultRowHeight="15" x14ac:dyDescent="0.25"/>
  <cols>
    <col min="1" max="1" width="28.140625" customWidth="1"/>
    <col min="2" max="2" width="36.28515625" customWidth="1"/>
    <col min="4" max="4" width="11.42578125" style="162"/>
    <col min="5" max="5" width="9.5703125" customWidth="1"/>
    <col min="8" max="8" width="22.28515625" customWidth="1"/>
  </cols>
  <sheetData>
    <row r="1" spans="1:8" ht="19.5" customHeight="1" x14ac:dyDescent="0.3">
      <c r="A1" s="57"/>
      <c r="B1" s="59" t="s">
        <v>0</v>
      </c>
      <c r="C1" s="57"/>
      <c r="D1" s="57"/>
      <c r="E1" s="120"/>
      <c r="F1" s="120"/>
      <c r="G1" s="120"/>
      <c r="H1" s="120"/>
    </row>
    <row r="2" spans="1:8" ht="15.75" x14ac:dyDescent="0.25">
      <c r="A2" s="57"/>
      <c r="B2" s="57"/>
      <c r="C2" s="57"/>
      <c r="D2" s="57"/>
      <c r="E2" s="120"/>
      <c r="F2" s="120"/>
      <c r="G2" s="120"/>
      <c r="H2" s="120"/>
    </row>
    <row r="3" spans="1:8" ht="18" customHeight="1" x14ac:dyDescent="0.3">
      <c r="A3" s="56"/>
      <c r="B3" s="59" t="s">
        <v>252</v>
      </c>
      <c r="C3" s="57"/>
      <c r="D3" s="57"/>
      <c r="E3" s="120"/>
      <c r="F3" s="120"/>
      <c r="G3" s="120"/>
      <c r="H3" s="120"/>
    </row>
    <row r="4" spans="1:8" ht="15.75" customHeight="1" x14ac:dyDescent="0.3">
      <c r="A4" s="59"/>
      <c r="B4" s="57"/>
      <c r="C4" s="57"/>
      <c r="D4" s="57"/>
      <c r="E4" s="120"/>
      <c r="F4" s="120"/>
      <c r="G4" s="120"/>
      <c r="H4" s="120"/>
    </row>
    <row r="5" spans="1:8" ht="14.25" customHeight="1" x14ac:dyDescent="0.25">
      <c r="A5" s="137" t="s">
        <v>255</v>
      </c>
      <c r="B5" s="137" t="s">
        <v>86</v>
      </c>
      <c r="C5" s="138"/>
      <c r="D5" s="138"/>
      <c r="E5" s="123"/>
      <c r="F5" s="123"/>
      <c r="G5" s="123"/>
      <c r="H5" s="123"/>
    </row>
    <row r="6" spans="1:8" ht="14.25" customHeight="1" x14ac:dyDescent="0.25">
      <c r="A6" s="137" t="s">
        <v>2</v>
      </c>
      <c r="B6" s="137" t="s">
        <v>54</v>
      </c>
      <c r="C6" s="138"/>
      <c r="D6" s="138"/>
      <c r="E6" s="123"/>
      <c r="F6" s="123"/>
      <c r="G6" s="123"/>
      <c r="H6" s="123"/>
    </row>
    <row r="7" spans="1:8" ht="12.75" customHeight="1" x14ac:dyDescent="0.25">
      <c r="A7" s="137" t="s">
        <v>4</v>
      </c>
      <c r="B7" s="137" t="s">
        <v>251</v>
      </c>
      <c r="C7" s="138"/>
      <c r="D7" s="138"/>
      <c r="E7" s="123"/>
      <c r="F7" s="123"/>
      <c r="G7" s="123"/>
      <c r="H7" s="123"/>
    </row>
    <row r="8" spans="1:8" ht="14.25" customHeight="1" x14ac:dyDescent="0.25">
      <c r="A8" s="137" t="s">
        <v>5</v>
      </c>
      <c r="B8" s="137" t="s">
        <v>256</v>
      </c>
      <c r="C8" s="138"/>
      <c r="D8" s="138"/>
      <c r="E8" s="136"/>
      <c r="F8" s="350" t="s">
        <v>171</v>
      </c>
      <c r="G8" s="351"/>
      <c r="H8" s="352"/>
    </row>
    <row r="9" spans="1:8" x14ac:dyDescent="0.25">
      <c r="A9" s="137" t="s">
        <v>6</v>
      </c>
      <c r="B9" s="137" t="s">
        <v>253</v>
      </c>
      <c r="C9" s="138"/>
      <c r="D9" s="138"/>
      <c r="E9" s="136"/>
      <c r="F9" s="134" t="s">
        <v>158</v>
      </c>
      <c r="G9" s="56">
        <v>650</v>
      </c>
      <c r="H9" s="121"/>
    </row>
    <row r="10" spans="1:8" ht="13.5" customHeight="1" thickBot="1" x14ac:dyDescent="0.3">
      <c r="A10" s="137" t="s">
        <v>8</v>
      </c>
      <c r="B10" s="137"/>
      <c r="C10" s="138"/>
      <c r="D10" s="138"/>
      <c r="E10" s="136"/>
      <c r="F10" s="62" t="s">
        <v>160</v>
      </c>
      <c r="G10" s="135">
        <f>G9*1000/8.94</f>
        <v>72706.935123042509</v>
      </c>
      <c r="H10" s="121"/>
    </row>
    <row r="11" spans="1:8" x14ac:dyDescent="0.25">
      <c r="A11" s="353" t="s">
        <v>9</v>
      </c>
      <c r="B11" s="137" t="s">
        <v>254</v>
      </c>
      <c r="C11" s="139">
        <v>8.94E-3</v>
      </c>
      <c r="D11" s="140" t="s">
        <v>174</v>
      </c>
      <c r="E11" s="44" t="s">
        <v>313</v>
      </c>
      <c r="F11" s="108">
        <f>C11*G10</f>
        <v>650</v>
      </c>
      <c r="G11" s="80"/>
      <c r="H11" s="121"/>
    </row>
    <row r="12" spans="1:8" x14ac:dyDescent="0.25">
      <c r="A12" s="354"/>
      <c r="B12" s="141" t="s">
        <v>248</v>
      </c>
      <c r="C12" s="142">
        <v>5.718E-3</v>
      </c>
      <c r="D12" s="140" t="s">
        <v>174</v>
      </c>
      <c r="E12" s="44"/>
      <c r="F12" s="78">
        <f>C12*G10</f>
        <v>415.73825503355704</v>
      </c>
      <c r="G12" s="80"/>
      <c r="H12" s="121"/>
    </row>
    <row r="13" spans="1:8" x14ac:dyDescent="0.25">
      <c r="A13" s="354"/>
      <c r="B13" s="141" t="s">
        <v>48</v>
      </c>
      <c r="C13" s="142">
        <v>1.4339999999999999E-3</v>
      </c>
      <c r="D13" s="140" t="s">
        <v>174</v>
      </c>
      <c r="E13" s="44"/>
      <c r="F13" s="78">
        <f>C13*G10</f>
        <v>104.26174496644295</v>
      </c>
      <c r="G13" s="80"/>
      <c r="H13" s="121"/>
    </row>
    <row r="14" spans="1:8" x14ac:dyDescent="0.25">
      <c r="A14" s="354"/>
      <c r="B14" s="141" t="s">
        <v>12</v>
      </c>
      <c r="C14" s="142">
        <v>1</v>
      </c>
      <c r="D14" s="140" t="s">
        <v>161</v>
      </c>
      <c r="E14" s="44"/>
      <c r="F14" s="79">
        <f>C14*G10</f>
        <v>72706.935123042509</v>
      </c>
      <c r="G14" s="80"/>
      <c r="H14" s="121"/>
    </row>
    <row r="15" spans="1:8" x14ac:dyDescent="0.25">
      <c r="A15" s="354"/>
      <c r="B15" s="141" t="s">
        <v>13</v>
      </c>
      <c r="C15" s="142">
        <v>1</v>
      </c>
      <c r="D15" s="140" t="s">
        <v>161</v>
      </c>
      <c r="E15" s="44"/>
      <c r="F15" s="79">
        <f>C15*G10</f>
        <v>72706.935123042509</v>
      </c>
      <c r="G15" s="81"/>
      <c r="H15" s="121"/>
    </row>
    <row r="16" spans="1:8" x14ac:dyDescent="0.25">
      <c r="A16" s="354"/>
      <c r="B16" s="141" t="s">
        <v>14</v>
      </c>
      <c r="C16" s="142">
        <v>1</v>
      </c>
      <c r="D16" s="140" t="s">
        <v>161</v>
      </c>
      <c r="E16" s="44"/>
      <c r="F16" s="79">
        <f>C16*G10</f>
        <v>72706.935123042509</v>
      </c>
      <c r="G16" s="81"/>
      <c r="H16" s="121"/>
    </row>
    <row r="17" spans="1:8" ht="14.25" customHeight="1" thickBot="1" x14ac:dyDescent="0.3">
      <c r="A17" s="355"/>
      <c r="B17" s="143" t="s">
        <v>75</v>
      </c>
      <c r="C17" s="144">
        <v>0.01</v>
      </c>
      <c r="D17" s="140" t="s">
        <v>161</v>
      </c>
      <c r="E17" s="44"/>
      <c r="F17" s="79">
        <f>C17*G10</f>
        <v>727.06935123042513</v>
      </c>
      <c r="G17" s="81"/>
      <c r="H17" s="121"/>
    </row>
    <row r="18" spans="1:8" x14ac:dyDescent="0.25">
      <c r="A18" s="145" t="s">
        <v>233</v>
      </c>
      <c r="B18" s="145" t="s">
        <v>233</v>
      </c>
      <c r="C18" s="125" t="s">
        <v>234</v>
      </c>
      <c r="D18" s="125"/>
      <c r="E18" s="121"/>
      <c r="F18" s="81"/>
      <c r="G18" s="81"/>
      <c r="H18" s="121"/>
    </row>
    <row r="19" spans="1:8" x14ac:dyDescent="0.25">
      <c r="A19" s="146" t="s">
        <v>235</v>
      </c>
      <c r="B19" s="146" t="s">
        <v>236</v>
      </c>
      <c r="C19" s="123" t="s">
        <v>237</v>
      </c>
      <c r="D19" s="123"/>
      <c r="E19" s="121"/>
      <c r="F19" s="81"/>
      <c r="G19" s="81"/>
      <c r="H19" s="121"/>
    </row>
    <row r="20" spans="1:8" ht="15.75" x14ac:dyDescent="0.25">
      <c r="A20" s="122" t="s">
        <v>238</v>
      </c>
      <c r="B20" s="122" t="s">
        <v>239</v>
      </c>
      <c r="C20" s="123" t="s">
        <v>240</v>
      </c>
      <c r="D20" s="123"/>
      <c r="E20" s="120"/>
      <c r="F20" s="120"/>
      <c r="G20" s="120"/>
      <c r="H20" s="120"/>
    </row>
    <row r="21" spans="1:8" x14ac:dyDescent="0.25">
      <c r="A21" s="121"/>
      <c r="B21" s="121"/>
      <c r="C21" s="120"/>
      <c r="E21" s="120"/>
      <c r="F21" s="120"/>
      <c r="G21" s="120"/>
      <c r="H21" s="120"/>
    </row>
    <row r="22" spans="1:8" x14ac:dyDescent="0.25">
      <c r="A22" s="120"/>
      <c r="B22" s="120"/>
      <c r="C22" s="120"/>
      <c r="E22" s="120"/>
      <c r="F22" s="120"/>
      <c r="G22" s="120"/>
      <c r="H22" s="120"/>
    </row>
  </sheetData>
  <mergeCells count="2">
    <mergeCell ref="F8:H8"/>
    <mergeCell ref="A11:A17"/>
  </mergeCells>
  <pageMargins left="0.7" right="0.7" top="0.75" bottom="0.75" header="0.3" footer="0.3"/>
  <pageSetup paperSize="9" orientation="landscape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3:H47"/>
  <sheetViews>
    <sheetView topLeftCell="A4" workbookViewId="0">
      <selection activeCell="G15" sqref="G15"/>
    </sheetView>
  </sheetViews>
  <sheetFormatPr baseColWidth="10" defaultRowHeight="16.5" x14ac:dyDescent="0.3"/>
  <cols>
    <col min="1" max="1" width="24.28515625" style="267" customWidth="1"/>
    <col min="2" max="2" width="33.85546875" style="267" customWidth="1"/>
    <col min="3" max="4" width="14.140625" style="267" customWidth="1"/>
    <col min="5" max="16384" width="11.42578125" style="267"/>
  </cols>
  <sheetData>
    <row r="3" spans="1:8" ht="20.25" x14ac:dyDescent="0.3">
      <c r="A3" s="287"/>
      <c r="B3" s="288" t="s">
        <v>0</v>
      </c>
      <c r="C3" s="287"/>
      <c r="D3" s="287"/>
    </row>
    <row r="4" spans="1:8" ht="17.25" x14ac:dyDescent="0.3">
      <c r="A4" s="287"/>
      <c r="B4" s="287"/>
      <c r="C4" s="287"/>
      <c r="D4" s="287"/>
    </row>
    <row r="5" spans="1:8" ht="20.25" x14ac:dyDescent="0.3">
      <c r="A5" s="289"/>
      <c r="B5" s="288" t="s">
        <v>115</v>
      </c>
      <c r="C5" s="287"/>
      <c r="D5" s="287"/>
    </row>
    <row r="6" spans="1:8" ht="20.25" x14ac:dyDescent="0.3">
      <c r="A6" s="288"/>
      <c r="B6" s="287"/>
      <c r="C6" s="287"/>
      <c r="D6" s="287"/>
    </row>
    <row r="7" spans="1:8" ht="17.25" x14ac:dyDescent="0.3">
      <c r="A7" s="290" t="s">
        <v>116</v>
      </c>
      <c r="B7" s="290" t="s">
        <v>84</v>
      </c>
      <c r="C7" s="291"/>
      <c r="D7" s="291"/>
    </row>
    <row r="8" spans="1:8" ht="17.25" x14ac:dyDescent="0.3">
      <c r="A8" s="290" t="s">
        <v>2</v>
      </c>
      <c r="B8" s="290" t="s">
        <v>117</v>
      </c>
      <c r="C8" s="291"/>
      <c r="D8" s="291"/>
    </row>
    <row r="9" spans="1:8" ht="17.25" x14ac:dyDescent="0.3">
      <c r="A9" s="290" t="s">
        <v>4</v>
      </c>
      <c r="B9" s="290" t="s">
        <v>118</v>
      </c>
      <c r="C9" s="291"/>
      <c r="D9" s="291"/>
    </row>
    <row r="10" spans="1:8" ht="17.25" x14ac:dyDescent="0.3">
      <c r="A10" s="290" t="s">
        <v>5</v>
      </c>
      <c r="B10" s="290" t="s">
        <v>119</v>
      </c>
      <c r="C10" s="291"/>
      <c r="D10" s="291"/>
      <c r="F10" s="292" t="s">
        <v>156</v>
      </c>
      <c r="G10" s="292"/>
      <c r="H10" s="292" t="s">
        <v>157</v>
      </c>
    </row>
    <row r="11" spans="1:8" ht="17.25" x14ac:dyDescent="0.3">
      <c r="A11" s="290" t="s">
        <v>6</v>
      </c>
      <c r="B11" s="290" t="s">
        <v>120</v>
      </c>
      <c r="C11" s="291"/>
      <c r="D11" s="291"/>
      <c r="F11" s="303" t="s">
        <v>158</v>
      </c>
      <c r="G11" s="293">
        <v>168</v>
      </c>
      <c r="H11" s="303" t="s">
        <v>158</v>
      </c>
    </row>
    <row r="12" spans="1:8" ht="17.25" x14ac:dyDescent="0.3">
      <c r="A12" s="290" t="s">
        <v>8</v>
      </c>
      <c r="B12" s="290"/>
      <c r="C12" s="291"/>
      <c r="D12" s="291"/>
      <c r="E12" s="272" t="s">
        <v>274</v>
      </c>
      <c r="F12" s="292" t="s">
        <v>160</v>
      </c>
      <c r="G12" s="293">
        <f>G11*1000/2.5</f>
        <v>67200</v>
      </c>
      <c r="H12" s="294"/>
    </row>
    <row r="13" spans="1:8" ht="17.25" x14ac:dyDescent="0.3">
      <c r="A13" s="356" t="s">
        <v>9</v>
      </c>
      <c r="B13" s="290" t="s">
        <v>121</v>
      </c>
      <c r="C13" s="302">
        <v>1.8749999999999999E-3</v>
      </c>
      <c r="D13" s="267" t="s">
        <v>174</v>
      </c>
      <c r="E13" s="272" t="s">
        <v>289</v>
      </c>
      <c r="F13" s="295">
        <f>C13*G12</f>
        <v>126</v>
      </c>
      <c r="G13" s="296"/>
      <c r="H13" s="295"/>
    </row>
    <row r="14" spans="1:8" ht="17.25" x14ac:dyDescent="0.3">
      <c r="A14" s="356"/>
      <c r="B14" s="290" t="s">
        <v>122</v>
      </c>
      <c r="C14" s="302">
        <v>1.4999999999999999E-4</v>
      </c>
      <c r="D14" s="267" t="s">
        <v>174</v>
      </c>
      <c r="E14" s="272"/>
      <c r="F14" s="295">
        <f>C14*G12</f>
        <v>10.079999999999998</v>
      </c>
      <c r="G14" s="296"/>
      <c r="H14" s="295"/>
    </row>
    <row r="15" spans="1:8" ht="17.25" x14ac:dyDescent="0.3">
      <c r="A15" s="356"/>
      <c r="B15" s="290" t="s">
        <v>123</v>
      </c>
      <c r="C15" s="302">
        <v>2.9999999999999997E-4</v>
      </c>
      <c r="D15" s="267" t="s">
        <v>174</v>
      </c>
      <c r="E15" s="272"/>
      <c r="F15" s="297">
        <f>C15*G12</f>
        <v>20.159999999999997</v>
      </c>
      <c r="G15" s="296"/>
      <c r="H15" s="297"/>
    </row>
    <row r="16" spans="1:8" ht="17.25" x14ac:dyDescent="0.3">
      <c r="A16" s="356"/>
      <c r="B16" s="290" t="s">
        <v>124</v>
      </c>
      <c r="C16" s="302">
        <v>1.25E-4</v>
      </c>
      <c r="D16" s="267" t="s">
        <v>174</v>
      </c>
      <c r="E16" s="272" t="s">
        <v>422</v>
      </c>
      <c r="F16" s="297">
        <f>C16*G12</f>
        <v>8.4</v>
      </c>
      <c r="G16" s="296"/>
      <c r="H16" s="297"/>
    </row>
    <row r="17" spans="1:8" ht="17.25" x14ac:dyDescent="0.3">
      <c r="A17" s="356"/>
      <c r="B17" s="290" t="s">
        <v>125</v>
      </c>
      <c r="C17" s="302">
        <v>5.0000000000000002E-5</v>
      </c>
      <c r="D17" s="267" t="s">
        <v>174</v>
      </c>
      <c r="E17" s="272"/>
      <c r="F17" s="298">
        <f>C17*G12</f>
        <v>3.3600000000000003</v>
      </c>
      <c r="G17" s="299"/>
      <c r="H17" s="298"/>
    </row>
    <row r="18" spans="1:8" ht="17.25" x14ac:dyDescent="0.3">
      <c r="A18" s="356"/>
      <c r="B18" s="290" t="s">
        <v>10</v>
      </c>
      <c r="C18" s="302">
        <v>5.4540000000000003E-4</v>
      </c>
      <c r="D18" s="267" t="s">
        <v>174</v>
      </c>
      <c r="E18" s="272" t="s">
        <v>291</v>
      </c>
      <c r="F18" s="298">
        <f>C18*G12</f>
        <v>36.650880000000001</v>
      </c>
      <c r="G18" s="299"/>
      <c r="H18" s="298"/>
    </row>
    <row r="19" spans="1:8" ht="17.25" x14ac:dyDescent="0.3">
      <c r="A19" s="356"/>
      <c r="B19" s="290" t="s">
        <v>11</v>
      </c>
      <c r="C19" s="302">
        <v>4.9680000000000004E-4</v>
      </c>
      <c r="D19" s="267" t="s">
        <v>174</v>
      </c>
      <c r="E19" s="272" t="s">
        <v>423</v>
      </c>
      <c r="F19" s="298">
        <f>C19*G12</f>
        <v>33.38496</v>
      </c>
      <c r="G19" s="299"/>
      <c r="H19" s="298"/>
    </row>
    <row r="20" spans="1:8" ht="17.25" x14ac:dyDescent="0.3">
      <c r="A20" s="356"/>
      <c r="B20" s="290" t="s">
        <v>12</v>
      </c>
      <c r="C20" s="302">
        <v>1</v>
      </c>
      <c r="D20" s="267" t="s">
        <v>161</v>
      </c>
      <c r="E20" s="272" t="s">
        <v>424</v>
      </c>
      <c r="F20" s="298">
        <f>C20*G12</f>
        <v>67200</v>
      </c>
      <c r="G20" s="299"/>
      <c r="H20" s="298"/>
    </row>
    <row r="21" spans="1:8" ht="17.25" x14ac:dyDescent="0.3">
      <c r="A21" s="356"/>
      <c r="B21" s="290" t="s">
        <v>13</v>
      </c>
      <c r="C21" s="302">
        <v>1</v>
      </c>
      <c r="D21" s="267" t="s">
        <v>161</v>
      </c>
      <c r="E21" s="272" t="s">
        <v>425</v>
      </c>
      <c r="F21" s="272">
        <f>C21*G12</f>
        <v>67200</v>
      </c>
      <c r="H21" s="272"/>
    </row>
    <row r="22" spans="1:8" ht="17.25" x14ac:dyDescent="0.3">
      <c r="A22" s="356"/>
      <c r="B22" s="290" t="s">
        <v>14</v>
      </c>
      <c r="C22" s="302">
        <v>1</v>
      </c>
      <c r="D22" s="267" t="s">
        <v>161</v>
      </c>
      <c r="E22" s="272" t="s">
        <v>276</v>
      </c>
      <c r="F22" s="272">
        <f>C22*G12</f>
        <v>67200</v>
      </c>
      <c r="H22" s="272"/>
    </row>
    <row r="23" spans="1:8" ht="17.25" thickBot="1" x14ac:dyDescent="0.35">
      <c r="A23" s="356"/>
      <c r="B23" s="292" t="s">
        <v>15</v>
      </c>
      <c r="C23" s="300">
        <v>6.6667000000000002E-3</v>
      </c>
      <c r="D23" s="267" t="s">
        <v>161</v>
      </c>
      <c r="E23" s="272" t="s">
        <v>281</v>
      </c>
      <c r="F23" s="274">
        <f>C23*G12</f>
        <v>448.00224000000003</v>
      </c>
      <c r="H23" s="272"/>
    </row>
    <row r="25" spans="1:8" ht="17.25" x14ac:dyDescent="0.3">
      <c r="A25" s="292" t="s">
        <v>16</v>
      </c>
      <c r="B25" s="301" t="s">
        <v>126</v>
      </c>
      <c r="C25" s="289"/>
      <c r="D25" s="289"/>
    </row>
    <row r="26" spans="1:8" x14ac:dyDescent="0.3">
      <c r="A26" s="292" t="s">
        <v>17</v>
      </c>
      <c r="B26" s="292"/>
      <c r="C26" s="289"/>
      <c r="D26" s="289"/>
    </row>
    <row r="27" spans="1:8" x14ac:dyDescent="0.3">
      <c r="A27" s="292" t="s">
        <v>18</v>
      </c>
      <c r="B27" s="292"/>
      <c r="C27" s="289"/>
      <c r="D27" s="289"/>
    </row>
    <row r="28" spans="1:8" x14ac:dyDescent="0.3">
      <c r="A28" s="292" t="s">
        <v>19</v>
      </c>
      <c r="B28" s="292"/>
      <c r="C28" s="289"/>
      <c r="D28" s="289"/>
    </row>
    <row r="29" spans="1:8" x14ac:dyDescent="0.3">
      <c r="A29" s="292" t="s">
        <v>20</v>
      </c>
      <c r="B29" s="292"/>
      <c r="C29" s="289"/>
      <c r="D29" s="289"/>
    </row>
    <row r="30" spans="1:8" x14ac:dyDescent="0.3">
      <c r="A30" s="292" t="s">
        <v>21</v>
      </c>
      <c r="B30" s="292"/>
      <c r="C30" s="289"/>
      <c r="D30" s="289"/>
    </row>
    <row r="31" spans="1:8" x14ac:dyDescent="0.3">
      <c r="A31" s="292" t="s">
        <v>22</v>
      </c>
      <c r="B31" s="292"/>
      <c r="C31" s="289"/>
      <c r="D31" s="289"/>
    </row>
    <row r="32" spans="1:8" x14ac:dyDescent="0.3">
      <c r="A32" s="292" t="s">
        <v>23</v>
      </c>
      <c r="B32" s="292"/>
      <c r="C32" s="289"/>
      <c r="D32" s="289"/>
    </row>
    <row r="33" spans="1:4" x14ac:dyDescent="0.3">
      <c r="A33" s="292" t="s">
        <v>24</v>
      </c>
      <c r="B33" s="292"/>
      <c r="C33" s="289"/>
      <c r="D33" s="289"/>
    </row>
    <row r="34" spans="1:4" x14ac:dyDescent="0.3">
      <c r="A34" s="292" t="s">
        <v>25</v>
      </c>
      <c r="B34" s="292"/>
      <c r="C34" s="289"/>
      <c r="D34" s="289"/>
    </row>
    <row r="35" spans="1:4" x14ac:dyDescent="0.3">
      <c r="A35" s="294" t="s">
        <v>26</v>
      </c>
      <c r="B35" s="292"/>
    </row>
    <row r="36" spans="1:4" x14ac:dyDescent="0.3">
      <c r="A36" s="294" t="s">
        <v>27</v>
      </c>
      <c r="B36" s="292"/>
    </row>
    <row r="38" spans="1:4" x14ac:dyDescent="0.3">
      <c r="A38" s="283" t="s">
        <v>233</v>
      </c>
      <c r="B38" s="283" t="s">
        <v>233</v>
      </c>
      <c r="C38" s="284" t="s">
        <v>234</v>
      </c>
      <c r="D38" s="284"/>
    </row>
    <row r="39" spans="1:4" ht="17.25" x14ac:dyDescent="0.3">
      <c r="A39" s="285" t="s">
        <v>235</v>
      </c>
      <c r="B39" s="285" t="s">
        <v>236</v>
      </c>
      <c r="C39" s="267" t="s">
        <v>237</v>
      </c>
    </row>
    <row r="40" spans="1:4" ht="17.25" x14ac:dyDescent="0.3">
      <c r="A40" s="285" t="s">
        <v>238</v>
      </c>
      <c r="B40" s="285" t="s">
        <v>239</v>
      </c>
      <c r="C40" s="267" t="s">
        <v>240</v>
      </c>
    </row>
    <row r="41" spans="1:4" x14ac:dyDescent="0.3">
      <c r="A41" s="286"/>
      <c r="B41" s="286"/>
    </row>
    <row r="42" spans="1:4" x14ac:dyDescent="0.3">
      <c r="A42" s="286"/>
      <c r="B42" s="286"/>
    </row>
    <row r="43" spans="1:4" x14ac:dyDescent="0.3">
      <c r="A43" s="286"/>
      <c r="B43" s="286"/>
    </row>
    <row r="44" spans="1:4" x14ac:dyDescent="0.3">
      <c r="A44" s="286"/>
      <c r="B44" s="286"/>
    </row>
    <row r="45" spans="1:4" x14ac:dyDescent="0.3">
      <c r="A45" s="286"/>
      <c r="B45" s="286"/>
    </row>
    <row r="46" spans="1:4" x14ac:dyDescent="0.3">
      <c r="A46" s="286"/>
      <c r="B46" s="286"/>
    </row>
    <row r="47" spans="1:4" x14ac:dyDescent="0.3">
      <c r="A47" s="286"/>
      <c r="B47" s="286"/>
    </row>
  </sheetData>
  <mergeCells count="1">
    <mergeCell ref="A13:A23"/>
  </mergeCells>
  <pageMargins left="0.7" right="0.7" top="0.75" bottom="0.75" header="0.3" footer="0.3"/>
  <pageSetup paperSize="9" orientation="portrait" horizontalDpi="4294967293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9"/>
  <dimension ref="A1:H31"/>
  <sheetViews>
    <sheetView topLeftCell="A7" workbookViewId="0">
      <selection activeCell="J23" sqref="J23"/>
    </sheetView>
  </sheetViews>
  <sheetFormatPr baseColWidth="10" defaultRowHeight="15" x14ac:dyDescent="0.25"/>
  <cols>
    <col min="1" max="1" width="23.28515625" customWidth="1"/>
    <col min="2" max="2" width="30.85546875" customWidth="1"/>
    <col min="3" max="3" width="15.140625" customWidth="1"/>
    <col min="4" max="4" width="9.5703125" style="162" customWidth="1"/>
  </cols>
  <sheetData>
    <row r="1" spans="1:8" x14ac:dyDescent="0.25">
      <c r="A1" t="s">
        <v>431</v>
      </c>
      <c r="B1" t="s">
        <v>432</v>
      </c>
    </row>
    <row r="3" spans="1:8" ht="20.25" x14ac:dyDescent="0.3">
      <c r="A3" s="2"/>
      <c r="B3" s="4" t="s">
        <v>0</v>
      </c>
      <c r="C3" s="2"/>
      <c r="D3" s="2"/>
    </row>
    <row r="4" spans="1:8" ht="15.75" x14ac:dyDescent="0.25">
      <c r="A4" s="2"/>
      <c r="B4" s="2"/>
      <c r="C4" s="2"/>
      <c r="D4" s="2"/>
    </row>
    <row r="5" spans="1:8" ht="20.25" x14ac:dyDescent="0.3">
      <c r="A5" s="1"/>
      <c r="B5" s="4" t="s">
        <v>127</v>
      </c>
      <c r="C5" s="2"/>
      <c r="D5" s="2"/>
    </row>
    <row r="6" spans="1:8" ht="20.25" x14ac:dyDescent="0.3">
      <c r="A6" s="4"/>
      <c r="B6" s="2"/>
      <c r="C6" s="2"/>
      <c r="D6" s="2"/>
    </row>
    <row r="7" spans="1:8" ht="15.75" x14ac:dyDescent="0.25">
      <c r="A7" s="3" t="s">
        <v>116</v>
      </c>
      <c r="B7" s="3" t="s">
        <v>84</v>
      </c>
      <c r="C7" s="5"/>
      <c r="D7" s="5"/>
    </row>
    <row r="8" spans="1:8" ht="15.75" x14ac:dyDescent="0.25">
      <c r="A8" s="3" t="s">
        <v>2</v>
      </c>
      <c r="B8" s="3" t="s">
        <v>117</v>
      </c>
      <c r="C8" s="5"/>
      <c r="D8" s="5"/>
    </row>
    <row r="9" spans="1:8" ht="16.5" thickBot="1" x14ac:dyDescent="0.3">
      <c r="A9" s="3" t="s">
        <v>4</v>
      </c>
      <c r="B9" s="3" t="s">
        <v>128</v>
      </c>
      <c r="C9" s="5"/>
      <c r="D9" s="5"/>
    </row>
    <row r="10" spans="1:8" ht="15.75" x14ac:dyDescent="0.25">
      <c r="A10" s="3" t="s">
        <v>5</v>
      </c>
      <c r="B10" s="3" t="s">
        <v>119</v>
      </c>
      <c r="C10" s="5"/>
      <c r="D10" s="5"/>
      <c r="F10" s="29" t="s">
        <v>156</v>
      </c>
      <c r="G10" s="127"/>
      <c r="H10" s="12" t="s">
        <v>157</v>
      </c>
    </row>
    <row r="11" spans="1:8" ht="15.75" x14ac:dyDescent="0.25">
      <c r="A11" s="3" t="s">
        <v>6</v>
      </c>
      <c r="B11" s="3" t="s">
        <v>120</v>
      </c>
      <c r="C11" s="5"/>
      <c r="D11" s="5"/>
      <c r="F11" s="12" t="s">
        <v>158</v>
      </c>
      <c r="G11" s="17">
        <v>135</v>
      </c>
      <c r="H11" s="17">
        <v>202.5</v>
      </c>
    </row>
    <row r="12" spans="1:8" ht="16.5" thickBot="1" x14ac:dyDescent="0.3">
      <c r="A12" s="3" t="s">
        <v>8</v>
      </c>
      <c r="B12" s="3"/>
      <c r="C12" s="5"/>
      <c r="D12" s="5"/>
      <c r="E12" s="44" t="s">
        <v>274</v>
      </c>
      <c r="F12" s="12" t="s">
        <v>160</v>
      </c>
      <c r="G12" s="98">
        <f>G11*1000/8.1</f>
        <v>16666.666666666668</v>
      </c>
      <c r="H12" s="98">
        <f>H11*1000/8.1</f>
        <v>25000</v>
      </c>
    </row>
    <row r="13" spans="1:8" ht="15.75" x14ac:dyDescent="0.25">
      <c r="A13" s="329" t="s">
        <v>9</v>
      </c>
      <c r="B13" s="11" t="s">
        <v>32</v>
      </c>
      <c r="C13" s="7">
        <v>7.6499999999999997E-3</v>
      </c>
      <c r="D13" t="s">
        <v>174</v>
      </c>
      <c r="E13" s="162" t="s">
        <v>289</v>
      </c>
      <c r="F13" s="90">
        <f>C13*G12</f>
        <v>127.5</v>
      </c>
      <c r="G13" s="90"/>
      <c r="H13" s="90">
        <f>C13*H12</f>
        <v>191.25</v>
      </c>
    </row>
    <row r="14" spans="1:8" ht="15.75" x14ac:dyDescent="0.25">
      <c r="A14" s="330"/>
      <c r="B14" s="6" t="s">
        <v>122</v>
      </c>
      <c r="C14" s="8">
        <v>4.4999999999999999E-4</v>
      </c>
      <c r="D14" t="s">
        <v>174</v>
      </c>
      <c r="E14" s="162" t="s">
        <v>418</v>
      </c>
      <c r="F14" s="90">
        <f>C14*G12</f>
        <v>7.5</v>
      </c>
      <c r="G14" s="32"/>
      <c r="H14" s="90">
        <f>C14*H12</f>
        <v>11.25</v>
      </c>
    </row>
    <row r="15" spans="1:8" ht="15.75" x14ac:dyDescent="0.25">
      <c r="A15" s="330"/>
      <c r="B15" s="6" t="s">
        <v>10</v>
      </c>
      <c r="C15" s="8">
        <v>5.4540000000000003E-4</v>
      </c>
      <c r="D15" t="s">
        <v>174</v>
      </c>
      <c r="E15" s="162" t="s">
        <v>291</v>
      </c>
      <c r="F15" s="30">
        <f>C15*G12</f>
        <v>9.0900000000000016</v>
      </c>
      <c r="G15" s="32"/>
      <c r="H15" s="182">
        <f t="shared" ref="H15:H20" si="0">C15*$H$12</f>
        <v>13.635000000000002</v>
      </c>
    </row>
    <row r="16" spans="1:8" ht="15.75" x14ac:dyDescent="0.25">
      <c r="A16" s="330"/>
      <c r="B16" s="6" t="s">
        <v>11</v>
      </c>
      <c r="C16" s="8">
        <v>4.9680000000000004E-4</v>
      </c>
      <c r="D16" t="s">
        <v>174</v>
      </c>
      <c r="E16" s="162" t="s">
        <v>419</v>
      </c>
      <c r="F16" s="30">
        <f>C16*G12</f>
        <v>8.2800000000000011</v>
      </c>
      <c r="G16" s="32"/>
      <c r="H16" s="182">
        <f t="shared" si="0"/>
        <v>12.420000000000002</v>
      </c>
    </row>
    <row r="17" spans="1:8" ht="15.75" x14ac:dyDescent="0.25">
      <c r="A17" s="330"/>
      <c r="B17" s="6" t="s">
        <v>12</v>
      </c>
      <c r="C17" s="8">
        <v>1</v>
      </c>
      <c r="D17" t="s">
        <v>161</v>
      </c>
      <c r="E17" s="162" t="s">
        <v>420</v>
      </c>
      <c r="F17" s="31">
        <f>C17*G12</f>
        <v>16666.666666666668</v>
      </c>
      <c r="G17" s="33"/>
      <c r="H17" s="98">
        <f t="shared" si="0"/>
        <v>25000</v>
      </c>
    </row>
    <row r="18" spans="1:8" ht="15.75" x14ac:dyDescent="0.25">
      <c r="A18" s="330"/>
      <c r="B18" s="6" t="s">
        <v>13</v>
      </c>
      <c r="C18" s="8">
        <v>1</v>
      </c>
      <c r="D18" t="s">
        <v>161</v>
      </c>
      <c r="E18" s="162" t="s">
        <v>421</v>
      </c>
      <c r="F18" s="31">
        <f>C18*G12</f>
        <v>16666.666666666668</v>
      </c>
      <c r="G18" s="33"/>
      <c r="H18" s="98">
        <f t="shared" si="0"/>
        <v>25000</v>
      </c>
    </row>
    <row r="19" spans="1:8" ht="15.75" x14ac:dyDescent="0.25">
      <c r="A19" s="330"/>
      <c r="B19" s="6" t="s">
        <v>14</v>
      </c>
      <c r="C19" s="118">
        <v>1</v>
      </c>
      <c r="D19" t="s">
        <v>161</v>
      </c>
      <c r="E19" s="162" t="s">
        <v>276</v>
      </c>
      <c r="F19" s="31">
        <f>C19*G12</f>
        <v>16666.666666666668</v>
      </c>
      <c r="G19" s="33"/>
      <c r="H19" s="98">
        <f t="shared" si="0"/>
        <v>25000</v>
      </c>
    </row>
    <row r="20" spans="1:8" ht="15.75" thickBot="1" x14ac:dyDescent="0.3">
      <c r="A20" s="331"/>
      <c r="B20" s="23" t="s">
        <v>15</v>
      </c>
      <c r="C20" s="24">
        <v>6.6667000000000002E-3</v>
      </c>
      <c r="D20" t="s">
        <v>161</v>
      </c>
      <c r="E20" s="162" t="s">
        <v>281</v>
      </c>
      <c r="F20" s="31">
        <f>C20*G12</f>
        <v>111.11166666666668</v>
      </c>
      <c r="G20" s="33"/>
      <c r="H20" s="98">
        <f t="shared" si="0"/>
        <v>166.66750000000002</v>
      </c>
    </row>
    <row r="24" spans="1:8" ht="15.75" x14ac:dyDescent="0.25">
      <c r="A24" s="124" t="s">
        <v>233</v>
      </c>
      <c r="B24" s="124" t="s">
        <v>233</v>
      </c>
      <c r="C24" s="125" t="s">
        <v>234</v>
      </c>
      <c r="D24" s="125"/>
    </row>
    <row r="25" spans="1:8" ht="15.75" x14ac:dyDescent="0.25">
      <c r="A25" s="122" t="s">
        <v>235</v>
      </c>
      <c r="B25" s="122" t="s">
        <v>236</v>
      </c>
      <c r="C25" s="123" t="s">
        <v>237</v>
      </c>
      <c r="D25" s="123"/>
    </row>
    <row r="26" spans="1:8" ht="15.75" x14ac:dyDescent="0.25">
      <c r="A26" s="122" t="s">
        <v>238</v>
      </c>
      <c r="B26" s="122" t="s">
        <v>239</v>
      </c>
      <c r="C26" s="123" t="s">
        <v>240</v>
      </c>
      <c r="D26" s="123"/>
    </row>
    <row r="27" spans="1:8" x14ac:dyDescent="0.25">
      <c r="A27" s="121"/>
      <c r="B27" s="121"/>
      <c r="C27" s="120"/>
    </row>
    <row r="28" spans="1:8" x14ac:dyDescent="0.25">
      <c r="A28" s="121"/>
      <c r="B28" s="121"/>
    </row>
    <row r="29" spans="1:8" x14ac:dyDescent="0.25">
      <c r="A29" s="121"/>
      <c r="B29" s="121"/>
    </row>
    <row r="30" spans="1:8" x14ac:dyDescent="0.25">
      <c r="A30" s="121"/>
      <c r="B30" s="121"/>
    </row>
    <row r="31" spans="1:8" x14ac:dyDescent="0.25">
      <c r="A31" s="121"/>
      <c r="B31" s="121"/>
    </row>
  </sheetData>
  <mergeCells count="1">
    <mergeCell ref="A13:A20"/>
  </mergeCells>
  <pageMargins left="0.7" right="0.7" top="0.75" bottom="0.75" header="0.3" footer="0.3"/>
  <pageSetup paperSize="9" orientation="landscape" verticalDpi="0" r:id="rId1"/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3:H43"/>
  <sheetViews>
    <sheetView topLeftCell="A4" workbookViewId="0">
      <selection activeCell="G22" sqref="G22:G23"/>
    </sheetView>
  </sheetViews>
  <sheetFormatPr baseColWidth="10" defaultRowHeight="15" x14ac:dyDescent="0.25"/>
  <cols>
    <col min="1" max="1" width="24.7109375" customWidth="1"/>
    <col min="2" max="2" width="31.42578125" customWidth="1"/>
    <col min="3" max="3" width="14.85546875" customWidth="1"/>
    <col min="4" max="4" width="14.85546875" style="162" customWidth="1"/>
  </cols>
  <sheetData>
    <row r="3" spans="1:8" ht="20.25" x14ac:dyDescent="0.3">
      <c r="A3" s="2"/>
      <c r="B3" s="4" t="s">
        <v>0</v>
      </c>
      <c r="C3" s="2"/>
      <c r="D3" s="2"/>
    </row>
    <row r="4" spans="1:8" ht="15.75" x14ac:dyDescent="0.25">
      <c r="A4" s="2"/>
      <c r="B4" s="2"/>
      <c r="C4" s="2"/>
      <c r="D4" s="2"/>
    </row>
    <row r="5" spans="1:8" ht="20.25" x14ac:dyDescent="0.3">
      <c r="A5" s="1"/>
      <c r="B5" s="4" t="s">
        <v>129</v>
      </c>
      <c r="C5" s="2"/>
      <c r="D5" s="2"/>
    </row>
    <row r="6" spans="1:8" ht="20.25" x14ac:dyDescent="0.3">
      <c r="A6" s="4"/>
      <c r="B6" s="2"/>
      <c r="C6" s="2"/>
      <c r="D6" s="2"/>
    </row>
    <row r="7" spans="1:8" ht="15.75" x14ac:dyDescent="0.25">
      <c r="A7" s="3" t="s">
        <v>1</v>
      </c>
      <c r="B7" s="3" t="s">
        <v>66</v>
      </c>
      <c r="C7" s="5"/>
      <c r="D7" s="5"/>
    </row>
    <row r="8" spans="1:8" ht="15.75" x14ac:dyDescent="0.25">
      <c r="A8" s="3" t="s">
        <v>2</v>
      </c>
      <c r="B8" s="3" t="s">
        <v>3</v>
      </c>
      <c r="C8" s="5"/>
      <c r="D8" s="5"/>
    </row>
    <row r="9" spans="1:8" ht="16.5" thickBot="1" x14ac:dyDescent="0.3">
      <c r="A9" s="3" t="s">
        <v>4</v>
      </c>
      <c r="B9" s="3" t="s">
        <v>30</v>
      </c>
      <c r="C9" s="5"/>
      <c r="D9" s="5"/>
    </row>
    <row r="10" spans="1:8" ht="16.5" thickBot="1" x14ac:dyDescent="0.3">
      <c r="A10" s="3" t="s">
        <v>5</v>
      </c>
      <c r="B10" s="3" t="s">
        <v>31</v>
      </c>
      <c r="C10" s="5"/>
      <c r="D10" s="5"/>
      <c r="F10" s="29" t="s">
        <v>156</v>
      </c>
      <c r="G10" s="28"/>
      <c r="H10" s="34" t="s">
        <v>157</v>
      </c>
    </row>
    <row r="11" spans="1:8" ht="15.75" x14ac:dyDescent="0.25">
      <c r="A11" s="3" t="s">
        <v>6</v>
      </c>
      <c r="B11" s="3" t="s">
        <v>7</v>
      </c>
      <c r="C11" s="5"/>
      <c r="D11" s="5"/>
      <c r="F11" s="12" t="s">
        <v>158</v>
      </c>
      <c r="G11" s="1">
        <v>150</v>
      </c>
      <c r="H11" s="12" t="s">
        <v>158</v>
      </c>
    </row>
    <row r="12" spans="1:8" ht="16.5" thickBot="1" x14ac:dyDescent="0.3">
      <c r="A12" s="3" t="s">
        <v>8</v>
      </c>
      <c r="B12" s="3"/>
      <c r="C12" s="5"/>
      <c r="D12" s="5"/>
      <c r="E12" s="44" t="s">
        <v>274</v>
      </c>
      <c r="F12" s="12" t="s">
        <v>160</v>
      </c>
      <c r="G12" s="91">
        <f>G11*1000/10</f>
        <v>15000</v>
      </c>
      <c r="H12" s="17"/>
    </row>
    <row r="13" spans="1:8" ht="15.75" x14ac:dyDescent="0.25">
      <c r="A13" s="329" t="s">
        <v>9</v>
      </c>
      <c r="B13" s="11" t="s">
        <v>32</v>
      </c>
      <c r="C13" s="7">
        <v>9.75E-3</v>
      </c>
      <c r="D13" t="s">
        <v>174</v>
      </c>
      <c r="E13" s="44"/>
      <c r="F13" s="90">
        <f>C13*G12</f>
        <v>146.25</v>
      </c>
      <c r="G13" s="32"/>
      <c r="H13" s="90"/>
    </row>
    <row r="14" spans="1:8" ht="15.75" x14ac:dyDescent="0.25">
      <c r="A14" s="330"/>
      <c r="B14" s="6" t="s">
        <v>130</v>
      </c>
      <c r="C14" s="8">
        <v>2.5000000000000001E-4</v>
      </c>
      <c r="D14" t="s">
        <v>174</v>
      </c>
      <c r="E14" s="44"/>
      <c r="F14" s="90">
        <f>C14*G12</f>
        <v>3.75</v>
      </c>
      <c r="G14" s="32"/>
      <c r="H14" s="90"/>
    </row>
    <row r="15" spans="1:8" ht="15.75" x14ac:dyDescent="0.25">
      <c r="A15" s="330"/>
      <c r="B15" s="6" t="s">
        <v>10</v>
      </c>
      <c r="C15" s="8">
        <v>1.818E-3</v>
      </c>
      <c r="D15" t="s">
        <v>174</v>
      </c>
      <c r="E15" s="44"/>
      <c r="F15" s="30">
        <f>C15*G12</f>
        <v>27.27</v>
      </c>
      <c r="G15" s="32"/>
      <c r="H15" s="30"/>
    </row>
    <row r="16" spans="1:8" ht="15.75" x14ac:dyDescent="0.25">
      <c r="A16" s="330"/>
      <c r="B16" s="6" t="s">
        <v>11</v>
      </c>
      <c r="C16" s="8">
        <v>1.6559999999999999E-3</v>
      </c>
      <c r="D16" t="s">
        <v>174</v>
      </c>
      <c r="E16" s="44"/>
      <c r="F16" s="30">
        <f>C16*G12</f>
        <v>24.84</v>
      </c>
      <c r="G16" s="32"/>
      <c r="H16" s="30"/>
    </row>
    <row r="17" spans="1:8" ht="15.75" x14ac:dyDescent="0.25">
      <c r="A17" s="330"/>
      <c r="B17" s="6" t="s">
        <v>12</v>
      </c>
      <c r="C17" s="8">
        <v>1</v>
      </c>
      <c r="D17" t="s">
        <v>161</v>
      </c>
      <c r="E17" s="44"/>
      <c r="F17" s="31">
        <f>C17*G12</f>
        <v>15000</v>
      </c>
      <c r="G17" s="33"/>
      <c r="H17" s="31"/>
    </row>
    <row r="18" spans="1:8" ht="15.75" x14ac:dyDescent="0.25">
      <c r="A18" s="330"/>
      <c r="B18" s="6" t="s">
        <v>13</v>
      </c>
      <c r="C18" s="8">
        <v>1</v>
      </c>
      <c r="D18" t="s">
        <v>161</v>
      </c>
      <c r="E18" s="44"/>
      <c r="F18" s="31">
        <f>C19*G12</f>
        <v>15000</v>
      </c>
      <c r="G18" s="33"/>
      <c r="H18" s="31"/>
    </row>
    <row r="19" spans="1:8" ht="15.75" x14ac:dyDescent="0.25">
      <c r="A19" s="330"/>
      <c r="B19" s="6" t="s">
        <v>14</v>
      </c>
      <c r="C19" s="8">
        <v>1</v>
      </c>
      <c r="D19" t="s">
        <v>161</v>
      </c>
      <c r="E19" s="44"/>
      <c r="F19" s="31">
        <f>C19*G12</f>
        <v>15000</v>
      </c>
      <c r="G19" s="33"/>
      <c r="H19" s="31"/>
    </row>
    <row r="20" spans="1:8" ht="15.75" thickBot="1" x14ac:dyDescent="0.3">
      <c r="A20" s="331"/>
      <c r="B20" s="23" t="s">
        <v>15</v>
      </c>
      <c r="C20" s="24">
        <v>0.01</v>
      </c>
      <c r="D20" t="s">
        <v>161</v>
      </c>
      <c r="E20" s="44"/>
      <c r="F20" s="31">
        <f>C20*G12</f>
        <v>150</v>
      </c>
      <c r="G20" s="33"/>
      <c r="H20" s="31"/>
    </row>
    <row r="22" spans="1:8" ht="15.75" x14ac:dyDescent="0.25">
      <c r="A22" s="12" t="s">
        <v>16</v>
      </c>
      <c r="B22" s="22" t="s">
        <v>35</v>
      </c>
      <c r="C22" s="1"/>
      <c r="D22" s="1"/>
    </row>
    <row r="23" spans="1:8" x14ac:dyDescent="0.25">
      <c r="A23" s="12" t="s">
        <v>17</v>
      </c>
      <c r="B23" s="12"/>
      <c r="C23" s="1"/>
      <c r="D23" s="1"/>
    </row>
    <row r="24" spans="1:8" x14ac:dyDescent="0.25">
      <c r="A24" s="12" t="s">
        <v>18</v>
      </c>
      <c r="B24" s="12"/>
      <c r="C24" s="1"/>
      <c r="D24" s="1"/>
    </row>
    <row r="25" spans="1:8" x14ac:dyDescent="0.25">
      <c r="A25" s="12" t="s">
        <v>19</v>
      </c>
      <c r="B25" s="12"/>
      <c r="C25" s="1"/>
      <c r="D25" s="1"/>
    </row>
    <row r="26" spans="1:8" x14ac:dyDescent="0.25">
      <c r="A26" s="12" t="s">
        <v>20</v>
      </c>
      <c r="B26" s="12"/>
      <c r="C26" s="1"/>
      <c r="D26" s="1"/>
    </row>
    <row r="27" spans="1:8" x14ac:dyDescent="0.25">
      <c r="A27" s="12" t="s">
        <v>21</v>
      </c>
      <c r="B27" s="12"/>
      <c r="C27" s="1"/>
      <c r="D27" s="1"/>
    </row>
    <row r="28" spans="1:8" x14ac:dyDescent="0.25">
      <c r="A28" s="12" t="s">
        <v>22</v>
      </c>
      <c r="B28" s="12"/>
      <c r="C28" s="1"/>
      <c r="D28" s="1"/>
    </row>
    <row r="29" spans="1:8" x14ac:dyDescent="0.25">
      <c r="A29" s="12" t="s">
        <v>23</v>
      </c>
      <c r="B29" s="12"/>
      <c r="C29" s="1"/>
      <c r="D29" s="1"/>
    </row>
    <row r="30" spans="1:8" x14ac:dyDescent="0.25">
      <c r="A30" s="12" t="s">
        <v>24</v>
      </c>
      <c r="B30" s="12"/>
      <c r="C30" s="1"/>
      <c r="D30" s="1"/>
    </row>
    <row r="31" spans="1:8" x14ac:dyDescent="0.25">
      <c r="A31" s="12" t="s">
        <v>25</v>
      </c>
      <c r="B31" s="12"/>
      <c r="C31" s="1"/>
      <c r="D31" s="1"/>
    </row>
    <row r="32" spans="1:8" x14ac:dyDescent="0.25">
      <c r="A32" s="17" t="s">
        <v>26</v>
      </c>
      <c r="B32" s="12"/>
      <c r="C32" s="1"/>
      <c r="D32" s="1"/>
    </row>
    <row r="33" spans="1:4" x14ac:dyDescent="0.25">
      <c r="A33" s="17" t="s">
        <v>27</v>
      </c>
      <c r="B33" s="12"/>
      <c r="C33" s="1"/>
      <c r="D33" s="1"/>
    </row>
    <row r="36" spans="1:4" ht="15.75" x14ac:dyDescent="0.25">
      <c r="A36" s="124" t="s">
        <v>233</v>
      </c>
      <c r="B36" s="124" t="s">
        <v>233</v>
      </c>
      <c r="C36" s="125" t="s">
        <v>234</v>
      </c>
      <c r="D36" s="125"/>
    </row>
    <row r="37" spans="1:4" ht="15.75" x14ac:dyDescent="0.25">
      <c r="A37" s="122" t="s">
        <v>235</v>
      </c>
      <c r="B37" s="122" t="s">
        <v>236</v>
      </c>
      <c r="C37" s="123" t="s">
        <v>237</v>
      </c>
      <c r="D37" s="123"/>
    </row>
    <row r="38" spans="1:4" ht="15.75" x14ac:dyDescent="0.25">
      <c r="A38" s="122" t="s">
        <v>238</v>
      </c>
      <c r="B38" s="122" t="s">
        <v>239</v>
      </c>
      <c r="C38" s="123" t="s">
        <v>240</v>
      </c>
      <c r="D38" s="123"/>
    </row>
    <row r="39" spans="1:4" x14ac:dyDescent="0.25">
      <c r="A39" s="121"/>
      <c r="B39" s="121"/>
      <c r="C39" s="120"/>
    </row>
    <row r="40" spans="1:4" x14ac:dyDescent="0.25">
      <c r="A40" s="121"/>
      <c r="B40" s="121"/>
    </row>
    <row r="41" spans="1:4" x14ac:dyDescent="0.25">
      <c r="A41" s="121"/>
      <c r="B41" s="121"/>
    </row>
    <row r="42" spans="1:4" x14ac:dyDescent="0.25">
      <c r="A42" s="121"/>
      <c r="B42" s="121"/>
    </row>
    <row r="43" spans="1:4" x14ac:dyDescent="0.25">
      <c r="A43" s="121"/>
      <c r="B43" s="121"/>
    </row>
  </sheetData>
  <mergeCells count="1">
    <mergeCell ref="A13:A20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3:H43"/>
  <sheetViews>
    <sheetView workbookViewId="0">
      <selection activeCell="E12" sqref="E12"/>
    </sheetView>
  </sheetViews>
  <sheetFormatPr baseColWidth="10" defaultRowHeight="15" x14ac:dyDescent="0.25"/>
  <cols>
    <col min="1" max="1" width="24.85546875" customWidth="1"/>
    <col min="2" max="2" width="30.7109375" customWidth="1"/>
    <col min="3" max="3" width="12.85546875" customWidth="1"/>
    <col min="4" max="4" width="12.85546875" style="162" customWidth="1"/>
  </cols>
  <sheetData>
    <row r="3" spans="1:8" ht="20.25" x14ac:dyDescent="0.3">
      <c r="A3" s="2"/>
      <c r="B3" s="4" t="s">
        <v>0</v>
      </c>
      <c r="C3" s="2"/>
      <c r="D3" s="2"/>
    </row>
    <row r="4" spans="1:8" ht="15.75" x14ac:dyDescent="0.25">
      <c r="A4" s="2"/>
      <c r="B4" s="2"/>
      <c r="C4" s="2"/>
      <c r="D4" s="2"/>
    </row>
    <row r="5" spans="1:8" ht="20.25" x14ac:dyDescent="0.3">
      <c r="A5" s="1"/>
      <c r="B5" s="4" t="s">
        <v>131</v>
      </c>
      <c r="C5" s="2"/>
      <c r="D5" s="2"/>
    </row>
    <row r="6" spans="1:8" ht="20.25" x14ac:dyDescent="0.3">
      <c r="A6" s="4"/>
      <c r="B6" s="2"/>
      <c r="C6" s="2"/>
      <c r="D6" s="2"/>
    </row>
    <row r="7" spans="1:8" ht="15.75" x14ac:dyDescent="0.25">
      <c r="A7" s="3" t="s">
        <v>1</v>
      </c>
      <c r="B7" s="3" t="s">
        <v>79</v>
      </c>
      <c r="C7" s="5"/>
      <c r="D7" s="5"/>
    </row>
    <row r="8" spans="1:8" ht="15.75" x14ac:dyDescent="0.25">
      <c r="A8" s="3" t="s">
        <v>2</v>
      </c>
      <c r="B8" s="3" t="s">
        <v>3</v>
      </c>
      <c r="C8" s="5"/>
      <c r="D8" s="5"/>
    </row>
    <row r="9" spans="1:8" ht="16.5" thickBot="1" x14ac:dyDescent="0.3">
      <c r="A9" s="3" t="s">
        <v>4</v>
      </c>
      <c r="B9" s="3" t="s">
        <v>30</v>
      </c>
      <c r="C9" s="5"/>
      <c r="D9" s="5"/>
    </row>
    <row r="10" spans="1:8" ht="16.5" thickBot="1" x14ac:dyDescent="0.3">
      <c r="A10" s="3" t="s">
        <v>5</v>
      </c>
      <c r="B10" s="3" t="s">
        <v>31</v>
      </c>
      <c r="C10" s="5"/>
      <c r="D10" s="5"/>
      <c r="F10" s="29" t="s">
        <v>156</v>
      </c>
      <c r="G10" s="28"/>
      <c r="H10" s="34" t="s">
        <v>157</v>
      </c>
    </row>
    <row r="11" spans="1:8" ht="15.75" x14ac:dyDescent="0.25">
      <c r="A11" s="3" t="s">
        <v>6</v>
      </c>
      <c r="B11" s="3" t="s">
        <v>7</v>
      </c>
      <c r="C11" s="5"/>
      <c r="D11" s="5"/>
      <c r="F11" s="12" t="s">
        <v>158</v>
      </c>
      <c r="G11" s="1">
        <v>150</v>
      </c>
      <c r="H11" s="12" t="s">
        <v>158</v>
      </c>
    </row>
    <row r="12" spans="1:8" ht="16.5" thickBot="1" x14ac:dyDescent="0.3">
      <c r="A12" s="3" t="s">
        <v>8</v>
      </c>
      <c r="B12" s="3"/>
      <c r="C12" s="5"/>
      <c r="D12" s="5"/>
      <c r="E12" s="44" t="s">
        <v>274</v>
      </c>
      <c r="F12" s="12" t="s">
        <v>160</v>
      </c>
      <c r="G12" s="91">
        <f>G11*1000/10</f>
        <v>15000</v>
      </c>
      <c r="H12" s="17"/>
    </row>
    <row r="13" spans="1:8" ht="15.75" x14ac:dyDescent="0.25">
      <c r="A13" s="329" t="s">
        <v>9</v>
      </c>
      <c r="B13" s="11" t="s">
        <v>32</v>
      </c>
      <c r="C13" s="7">
        <v>9.4999999999999998E-3</v>
      </c>
      <c r="D13" t="s">
        <v>174</v>
      </c>
      <c r="E13" s="44"/>
      <c r="F13" s="90">
        <f>C13*G12</f>
        <v>142.5</v>
      </c>
      <c r="G13" s="32"/>
      <c r="H13" s="90"/>
    </row>
    <row r="14" spans="1:8" ht="15.75" x14ac:dyDescent="0.25">
      <c r="A14" s="330"/>
      <c r="B14" s="6" t="s">
        <v>130</v>
      </c>
      <c r="C14" s="8">
        <v>5.0000000000000001E-4</v>
      </c>
      <c r="D14" t="s">
        <v>174</v>
      </c>
      <c r="E14" s="44"/>
      <c r="F14" s="90">
        <f>C14*G12</f>
        <v>7.5</v>
      </c>
      <c r="G14" s="32"/>
      <c r="H14" s="90"/>
    </row>
    <row r="15" spans="1:8" ht="15.75" x14ac:dyDescent="0.25">
      <c r="A15" s="330"/>
      <c r="B15" s="6" t="s">
        <v>10</v>
      </c>
      <c r="C15" s="8">
        <v>1.818E-3</v>
      </c>
      <c r="D15" t="s">
        <v>174</v>
      </c>
      <c r="E15" s="44"/>
      <c r="F15" s="30">
        <f>C15*G12</f>
        <v>27.27</v>
      </c>
      <c r="G15" s="32"/>
      <c r="H15" s="30"/>
    </row>
    <row r="16" spans="1:8" ht="15.75" x14ac:dyDescent="0.25">
      <c r="A16" s="330"/>
      <c r="B16" s="6" t="s">
        <v>11</v>
      </c>
      <c r="C16" s="8">
        <v>1.6559999999999999E-3</v>
      </c>
      <c r="D16" t="s">
        <v>174</v>
      </c>
      <c r="E16" s="44"/>
      <c r="F16" s="30">
        <f>C16*G12</f>
        <v>24.84</v>
      </c>
      <c r="G16" s="32"/>
      <c r="H16" s="30"/>
    </row>
    <row r="17" spans="1:8" ht="15.75" x14ac:dyDescent="0.25">
      <c r="A17" s="330"/>
      <c r="B17" s="6" t="s">
        <v>12</v>
      </c>
      <c r="C17" s="8">
        <v>1</v>
      </c>
      <c r="D17" t="s">
        <v>161</v>
      </c>
      <c r="E17" s="44"/>
      <c r="F17" s="31">
        <f>C17*G12</f>
        <v>15000</v>
      </c>
      <c r="G17" s="33"/>
      <c r="H17" s="31"/>
    </row>
    <row r="18" spans="1:8" ht="15.75" x14ac:dyDescent="0.25">
      <c r="A18" s="330"/>
      <c r="B18" s="6" t="s">
        <v>13</v>
      </c>
      <c r="C18" s="8">
        <v>1</v>
      </c>
      <c r="D18" t="s">
        <v>161</v>
      </c>
      <c r="E18" s="44"/>
      <c r="F18" s="31">
        <f>C18*G12</f>
        <v>15000</v>
      </c>
      <c r="G18" s="33"/>
      <c r="H18" s="31"/>
    </row>
    <row r="19" spans="1:8" ht="15.75" x14ac:dyDescent="0.25">
      <c r="A19" s="330"/>
      <c r="B19" s="6" t="s">
        <v>14</v>
      </c>
      <c r="C19" s="8">
        <v>1</v>
      </c>
      <c r="D19" t="s">
        <v>161</v>
      </c>
      <c r="E19" s="44"/>
      <c r="F19" s="31">
        <f>C19*G12</f>
        <v>15000</v>
      </c>
      <c r="G19" s="33"/>
      <c r="H19" s="31"/>
    </row>
    <row r="20" spans="1:8" ht="15.75" thickBot="1" x14ac:dyDescent="0.3">
      <c r="A20" s="331"/>
      <c r="B20" s="23" t="s">
        <v>15</v>
      </c>
      <c r="C20" s="24">
        <v>0.01</v>
      </c>
      <c r="D20" t="s">
        <v>161</v>
      </c>
      <c r="E20" s="44"/>
      <c r="F20" s="31">
        <f>C20*G12</f>
        <v>150</v>
      </c>
      <c r="G20" s="33"/>
      <c r="H20" s="31"/>
    </row>
    <row r="22" spans="1:8" ht="15.75" x14ac:dyDescent="0.25">
      <c r="A22" s="12" t="s">
        <v>16</v>
      </c>
      <c r="B22" s="22" t="s">
        <v>35</v>
      </c>
      <c r="C22" s="1"/>
      <c r="D22" s="1"/>
    </row>
    <row r="23" spans="1:8" x14ac:dyDescent="0.25">
      <c r="A23" s="12" t="s">
        <v>17</v>
      </c>
      <c r="B23" s="12"/>
      <c r="C23" s="1"/>
      <c r="D23" s="1"/>
    </row>
    <row r="24" spans="1:8" x14ac:dyDescent="0.25">
      <c r="A24" s="12" t="s">
        <v>18</v>
      </c>
      <c r="B24" s="12"/>
      <c r="C24" s="1"/>
      <c r="D24" s="1"/>
    </row>
    <row r="25" spans="1:8" x14ac:dyDescent="0.25">
      <c r="A25" s="12" t="s">
        <v>19</v>
      </c>
      <c r="B25" s="12"/>
      <c r="C25" s="1"/>
      <c r="D25" s="1"/>
    </row>
    <row r="26" spans="1:8" x14ac:dyDescent="0.25">
      <c r="A26" s="12" t="s">
        <v>20</v>
      </c>
      <c r="B26" s="12"/>
      <c r="C26" s="1"/>
      <c r="D26" s="1"/>
    </row>
    <row r="27" spans="1:8" x14ac:dyDescent="0.25">
      <c r="A27" s="12" t="s">
        <v>21</v>
      </c>
      <c r="B27" s="12"/>
      <c r="C27" s="1"/>
      <c r="D27" s="1"/>
    </row>
    <row r="28" spans="1:8" x14ac:dyDescent="0.25">
      <c r="A28" s="12" t="s">
        <v>22</v>
      </c>
      <c r="B28" s="12"/>
      <c r="C28" s="1"/>
      <c r="D28" s="1"/>
    </row>
    <row r="29" spans="1:8" x14ac:dyDescent="0.25">
      <c r="A29" s="12" t="s">
        <v>23</v>
      </c>
      <c r="B29" s="12"/>
      <c r="C29" s="1"/>
      <c r="D29" s="1"/>
    </row>
    <row r="30" spans="1:8" x14ac:dyDescent="0.25">
      <c r="A30" s="12" t="s">
        <v>24</v>
      </c>
      <c r="B30" s="12"/>
      <c r="C30" s="1"/>
      <c r="D30" s="1"/>
    </row>
    <row r="31" spans="1:8" x14ac:dyDescent="0.25">
      <c r="A31" s="12" t="s">
        <v>25</v>
      </c>
      <c r="B31" s="12"/>
      <c r="C31" s="1"/>
      <c r="D31" s="1"/>
    </row>
    <row r="32" spans="1:8" x14ac:dyDescent="0.25">
      <c r="A32" s="17" t="s">
        <v>26</v>
      </c>
      <c r="B32" s="12"/>
      <c r="C32" s="1"/>
      <c r="D32" s="1"/>
    </row>
    <row r="33" spans="1:4" x14ac:dyDescent="0.25">
      <c r="A33" s="17" t="s">
        <v>27</v>
      </c>
      <c r="B33" s="12"/>
      <c r="C33" s="1"/>
      <c r="D33" s="1"/>
    </row>
    <row r="36" spans="1:4" ht="15.75" x14ac:dyDescent="0.25">
      <c r="A36" s="124" t="s">
        <v>233</v>
      </c>
      <c r="B36" s="124" t="s">
        <v>233</v>
      </c>
      <c r="C36" s="125" t="s">
        <v>234</v>
      </c>
      <c r="D36" s="125"/>
    </row>
    <row r="37" spans="1:4" ht="15.75" x14ac:dyDescent="0.25">
      <c r="A37" s="122" t="s">
        <v>235</v>
      </c>
      <c r="B37" s="122" t="s">
        <v>236</v>
      </c>
      <c r="C37" s="123" t="s">
        <v>237</v>
      </c>
      <c r="D37" s="123"/>
    </row>
    <row r="38" spans="1:4" ht="15.75" x14ac:dyDescent="0.25">
      <c r="A38" s="122" t="s">
        <v>238</v>
      </c>
      <c r="B38" s="122" t="s">
        <v>239</v>
      </c>
      <c r="C38" s="123" t="s">
        <v>240</v>
      </c>
      <c r="D38" s="123"/>
    </row>
    <row r="39" spans="1:4" x14ac:dyDescent="0.25">
      <c r="A39" s="121"/>
      <c r="B39" s="121"/>
    </row>
    <row r="40" spans="1:4" x14ac:dyDescent="0.25">
      <c r="A40" s="121"/>
      <c r="B40" s="121"/>
    </row>
    <row r="41" spans="1:4" x14ac:dyDescent="0.25">
      <c r="A41" s="121"/>
      <c r="B41" s="121"/>
    </row>
    <row r="42" spans="1:4" x14ac:dyDescent="0.25">
      <c r="A42" s="121"/>
      <c r="B42" s="121"/>
    </row>
    <row r="43" spans="1:4" x14ac:dyDescent="0.25">
      <c r="A43" s="121"/>
      <c r="B43" s="121"/>
    </row>
  </sheetData>
  <mergeCells count="1">
    <mergeCell ref="A13:A20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2:H30"/>
  <sheetViews>
    <sheetView topLeftCell="A3" workbookViewId="0">
      <selection activeCell="B10" sqref="B10"/>
    </sheetView>
  </sheetViews>
  <sheetFormatPr baseColWidth="10" defaultRowHeight="15" x14ac:dyDescent="0.25"/>
  <cols>
    <col min="1" max="1" width="24.7109375" customWidth="1"/>
    <col min="2" max="2" width="29.42578125" customWidth="1"/>
    <col min="3" max="3" width="12.7109375" customWidth="1"/>
  </cols>
  <sheetData>
    <row r="2" spans="1:8" ht="20.25" x14ac:dyDescent="0.3">
      <c r="A2" s="2"/>
      <c r="B2" s="4" t="s">
        <v>0</v>
      </c>
      <c r="C2" s="2"/>
    </row>
    <row r="3" spans="1:8" ht="15.75" x14ac:dyDescent="0.25">
      <c r="A3" s="2" t="s">
        <v>471</v>
      </c>
      <c r="B3" s="2"/>
      <c r="C3" s="2"/>
    </row>
    <row r="4" spans="1:8" ht="20.25" x14ac:dyDescent="0.3">
      <c r="A4" s="1"/>
      <c r="B4" s="4" t="s">
        <v>132</v>
      </c>
      <c r="C4" s="2"/>
    </row>
    <row r="5" spans="1:8" ht="20.25" x14ac:dyDescent="0.3">
      <c r="A5" s="4"/>
      <c r="B5" s="2"/>
      <c r="C5" s="2"/>
    </row>
    <row r="6" spans="1:8" ht="15.75" x14ac:dyDescent="0.25">
      <c r="A6" s="3" t="s">
        <v>1</v>
      </c>
      <c r="B6" s="3" t="s">
        <v>29</v>
      </c>
      <c r="C6" s="5"/>
    </row>
    <row r="7" spans="1:8" ht="15.75" x14ac:dyDescent="0.25">
      <c r="A7" s="3" t="s">
        <v>2</v>
      </c>
      <c r="B7" s="3" t="s">
        <v>3</v>
      </c>
      <c r="C7" s="5"/>
    </row>
    <row r="8" spans="1:8" ht="16.5" thickBot="1" x14ac:dyDescent="0.3">
      <c r="A8" s="3" t="s">
        <v>4</v>
      </c>
      <c r="B8" s="3" t="s">
        <v>30</v>
      </c>
      <c r="C8" s="5"/>
    </row>
    <row r="9" spans="1:8" ht="16.5" thickBot="1" x14ac:dyDescent="0.3">
      <c r="A9" s="3" t="s">
        <v>5</v>
      </c>
      <c r="B9" s="3" t="s">
        <v>31</v>
      </c>
      <c r="C9" s="5"/>
      <c r="E9" s="29" t="s">
        <v>156</v>
      </c>
      <c r="F9" s="28"/>
      <c r="G9" s="34" t="s">
        <v>157</v>
      </c>
    </row>
    <row r="10" spans="1:8" ht="15.75" x14ac:dyDescent="0.25">
      <c r="A10" s="3" t="s">
        <v>6</v>
      </c>
      <c r="B10" s="3" t="s">
        <v>473</v>
      </c>
      <c r="C10" s="5"/>
      <c r="E10" s="12" t="s">
        <v>158</v>
      </c>
      <c r="F10" s="1">
        <v>142.5</v>
      </c>
      <c r="G10" s="12" t="s">
        <v>158</v>
      </c>
      <c r="H10">
        <v>247</v>
      </c>
    </row>
    <row r="11" spans="1:8" ht="16.5" thickBot="1" x14ac:dyDescent="0.3">
      <c r="A11" s="3" t="s">
        <v>8</v>
      </c>
      <c r="B11" s="3"/>
      <c r="C11" s="5"/>
      <c r="E11" s="12" t="s">
        <v>160</v>
      </c>
      <c r="F11" s="91">
        <f>F10*1000/19</f>
        <v>7500</v>
      </c>
      <c r="G11" s="17">
        <f>H10*1000/19</f>
        <v>13000</v>
      </c>
    </row>
    <row r="12" spans="1:8" ht="15.75" x14ac:dyDescent="0.25">
      <c r="A12" s="329" t="s">
        <v>9</v>
      </c>
      <c r="B12" s="11" t="s">
        <v>32</v>
      </c>
      <c r="C12" s="7">
        <v>1.7999999999999999E-2</v>
      </c>
      <c r="D12" t="s">
        <v>174</v>
      </c>
      <c r="E12" s="90">
        <f>C12*F11</f>
        <v>135</v>
      </c>
      <c r="F12" s="32"/>
      <c r="G12" s="90">
        <f>C12*G11</f>
        <v>233.99999999999997</v>
      </c>
    </row>
    <row r="13" spans="1:8" ht="15.75" x14ac:dyDescent="0.25">
      <c r="A13" s="330"/>
      <c r="B13" s="6" t="s">
        <v>130</v>
      </c>
      <c r="C13" s="8">
        <v>1E-3</v>
      </c>
      <c r="D13" t="s">
        <v>174</v>
      </c>
      <c r="E13" s="90">
        <f>C13*F11</f>
        <v>7.5</v>
      </c>
      <c r="F13" s="32"/>
      <c r="G13" s="90">
        <f>C13*G11</f>
        <v>13</v>
      </c>
    </row>
    <row r="14" spans="1:8" ht="15.75" x14ac:dyDescent="0.25">
      <c r="A14" s="330"/>
      <c r="B14" s="6" t="s">
        <v>10</v>
      </c>
      <c r="C14" s="8">
        <v>1.818E-3</v>
      </c>
      <c r="D14" t="s">
        <v>174</v>
      </c>
      <c r="E14" s="30">
        <f>C14*F11</f>
        <v>13.635</v>
      </c>
      <c r="F14" s="32"/>
      <c r="G14" s="30">
        <f>C14*G11</f>
        <v>23.634</v>
      </c>
    </row>
    <row r="15" spans="1:8" ht="15.75" x14ac:dyDescent="0.25">
      <c r="A15" s="330"/>
      <c r="B15" s="6" t="s">
        <v>11</v>
      </c>
      <c r="C15" s="8">
        <v>1.6559999999999999E-3</v>
      </c>
      <c r="D15" t="s">
        <v>174</v>
      </c>
      <c r="E15" s="30">
        <f>C15*F11</f>
        <v>12.42</v>
      </c>
      <c r="F15" s="32"/>
      <c r="G15" s="30">
        <f>C15*G11</f>
        <v>21.527999999999999</v>
      </c>
    </row>
    <row r="16" spans="1:8" ht="15.75" x14ac:dyDescent="0.25">
      <c r="A16" s="330"/>
      <c r="B16" s="6" t="s">
        <v>12</v>
      </c>
      <c r="C16" s="8">
        <v>1</v>
      </c>
      <c r="D16" t="s">
        <v>161</v>
      </c>
      <c r="E16" s="31">
        <f>C16*F11</f>
        <v>7500</v>
      </c>
      <c r="F16" s="33"/>
      <c r="G16" s="31">
        <f>C16*G11</f>
        <v>13000</v>
      </c>
    </row>
    <row r="17" spans="1:7" ht="15.75" x14ac:dyDescent="0.25">
      <c r="A17" s="330"/>
      <c r="B17" s="6" t="s">
        <v>13</v>
      </c>
      <c r="C17" s="8">
        <v>1</v>
      </c>
      <c r="D17" t="s">
        <v>161</v>
      </c>
      <c r="E17" s="31">
        <f>C17*F11</f>
        <v>7500</v>
      </c>
      <c r="F17" s="33"/>
      <c r="G17" s="31">
        <f>C17*G11</f>
        <v>13000</v>
      </c>
    </row>
    <row r="18" spans="1:7" ht="15.75" x14ac:dyDescent="0.25">
      <c r="A18" s="330"/>
      <c r="B18" s="6" t="s">
        <v>14</v>
      </c>
      <c r="C18" s="8">
        <v>1</v>
      </c>
      <c r="D18" t="s">
        <v>161</v>
      </c>
      <c r="E18" s="31">
        <f>C18*F11</f>
        <v>7500</v>
      </c>
      <c r="F18" s="33"/>
      <c r="G18" s="31">
        <f>C18*G11</f>
        <v>13000</v>
      </c>
    </row>
    <row r="19" spans="1:7" ht="15.75" thickBot="1" x14ac:dyDescent="0.3">
      <c r="A19" s="331"/>
      <c r="B19" s="23" t="s">
        <v>15</v>
      </c>
      <c r="C19" s="24">
        <v>0.01</v>
      </c>
      <c r="D19" t="s">
        <v>161</v>
      </c>
      <c r="E19" s="31">
        <f>C19*F11</f>
        <v>75</v>
      </c>
      <c r="F19" s="33"/>
      <c r="G19" s="31">
        <f>C19*G11</f>
        <v>130</v>
      </c>
    </row>
    <row r="23" spans="1:7" x14ac:dyDescent="0.25">
      <c r="A23" s="120"/>
      <c r="B23" s="120"/>
      <c r="C23" s="120"/>
    </row>
    <row r="24" spans="1:7" ht="15.75" x14ac:dyDescent="0.25">
      <c r="A24" s="124" t="s">
        <v>233</v>
      </c>
      <c r="B24" s="124" t="s">
        <v>233</v>
      </c>
      <c r="C24" s="125" t="s">
        <v>234</v>
      </c>
    </row>
    <row r="25" spans="1:7" ht="15.75" x14ac:dyDescent="0.25">
      <c r="A25" s="122" t="s">
        <v>235</v>
      </c>
      <c r="B25" s="122" t="s">
        <v>236</v>
      </c>
      <c r="C25" s="123" t="s">
        <v>237</v>
      </c>
    </row>
    <row r="26" spans="1:7" ht="15.75" x14ac:dyDescent="0.25">
      <c r="A26" s="122" t="s">
        <v>238</v>
      </c>
      <c r="B26" s="122" t="s">
        <v>239</v>
      </c>
      <c r="C26" s="123" t="s">
        <v>240</v>
      </c>
    </row>
    <row r="27" spans="1:7" x14ac:dyDescent="0.25">
      <c r="A27" s="121"/>
      <c r="B27" s="121"/>
    </row>
    <row r="28" spans="1:7" x14ac:dyDescent="0.25">
      <c r="A28" s="121"/>
      <c r="B28" s="121"/>
    </row>
    <row r="29" spans="1:7" x14ac:dyDescent="0.25">
      <c r="A29" s="121"/>
      <c r="B29" s="121"/>
    </row>
    <row r="30" spans="1:7" x14ac:dyDescent="0.25">
      <c r="A30" s="121"/>
      <c r="B30" s="121"/>
    </row>
  </sheetData>
  <mergeCells count="1">
    <mergeCell ref="A12:A19"/>
  </mergeCells>
  <pageMargins left="0.7" right="0.7" top="0.75" bottom="0.75" header="0.3" footer="0.3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G31"/>
  <sheetViews>
    <sheetView workbookViewId="0">
      <selection activeCell="G11" sqref="G11:G20"/>
    </sheetView>
  </sheetViews>
  <sheetFormatPr baseColWidth="10" defaultRowHeight="15" x14ac:dyDescent="0.25"/>
  <cols>
    <col min="1" max="1" width="25" customWidth="1"/>
    <col min="2" max="2" width="32.85546875" customWidth="1"/>
    <col min="3" max="3" width="12.42578125" customWidth="1"/>
  </cols>
  <sheetData>
    <row r="1" spans="1:7" x14ac:dyDescent="0.25">
      <c r="A1" t="s">
        <v>438</v>
      </c>
    </row>
    <row r="3" spans="1:7" ht="20.25" x14ac:dyDescent="0.3">
      <c r="A3" s="2"/>
      <c r="B3" s="4" t="s">
        <v>0</v>
      </c>
      <c r="C3" s="2"/>
    </row>
    <row r="4" spans="1:7" ht="15.75" x14ac:dyDescent="0.25">
      <c r="A4" s="2"/>
      <c r="B4" s="2"/>
      <c r="C4" s="2"/>
    </row>
    <row r="5" spans="1:7" ht="20.25" x14ac:dyDescent="0.3">
      <c r="A5" s="1"/>
      <c r="B5" s="4" t="s">
        <v>133</v>
      </c>
      <c r="C5" s="2"/>
    </row>
    <row r="6" spans="1:7" ht="20.25" x14ac:dyDescent="0.3">
      <c r="A6" s="4"/>
      <c r="B6" s="2"/>
      <c r="C6" s="2"/>
    </row>
    <row r="7" spans="1:7" ht="15.75" x14ac:dyDescent="0.25">
      <c r="A7" s="3" t="s">
        <v>116</v>
      </c>
      <c r="B7" s="3" t="s">
        <v>29</v>
      </c>
      <c r="C7" s="5"/>
    </row>
    <row r="8" spans="1:7" ht="15.75" x14ac:dyDescent="0.25">
      <c r="A8" s="3" t="s">
        <v>2</v>
      </c>
      <c r="B8" s="3" t="s">
        <v>117</v>
      </c>
      <c r="C8" s="5"/>
    </row>
    <row r="9" spans="1:7" ht="16.5" thickBot="1" x14ac:dyDescent="0.3">
      <c r="A9" s="3" t="s">
        <v>4</v>
      </c>
      <c r="B9" s="3" t="s">
        <v>134</v>
      </c>
      <c r="C9" s="5"/>
    </row>
    <row r="10" spans="1:7" ht="15.75" x14ac:dyDescent="0.25">
      <c r="A10" s="3" t="s">
        <v>5</v>
      </c>
      <c r="B10" s="3" t="s">
        <v>135</v>
      </c>
      <c r="C10" s="5"/>
      <c r="F10" s="29" t="s">
        <v>156</v>
      </c>
      <c r="G10" s="34" t="s">
        <v>157</v>
      </c>
    </row>
    <row r="11" spans="1:7" ht="15.75" x14ac:dyDescent="0.25">
      <c r="A11" s="3" t="s">
        <v>6</v>
      </c>
      <c r="B11" s="3" t="s">
        <v>136</v>
      </c>
      <c r="C11" s="5"/>
      <c r="E11" s="12" t="s">
        <v>158</v>
      </c>
      <c r="F11" s="12">
        <v>162</v>
      </c>
      <c r="G11" s="12">
        <v>270</v>
      </c>
    </row>
    <row r="12" spans="1:7" ht="16.5" thickBot="1" x14ac:dyDescent="0.3">
      <c r="A12" s="5" t="s">
        <v>8</v>
      </c>
      <c r="B12" s="5"/>
      <c r="C12" s="5"/>
      <c r="D12" s="44" t="s">
        <v>299</v>
      </c>
      <c r="E12" s="12" t="s">
        <v>160</v>
      </c>
      <c r="F12" s="12">
        <f>162*1000/27</f>
        <v>6000</v>
      </c>
      <c r="G12" s="12">
        <f>G11*1000/27</f>
        <v>10000</v>
      </c>
    </row>
    <row r="13" spans="1:7" ht="15.75" x14ac:dyDescent="0.25">
      <c r="A13" s="357" t="s">
        <v>9</v>
      </c>
      <c r="B13" s="25" t="s">
        <v>32</v>
      </c>
      <c r="C13" s="168">
        <v>2.1999999999999999E-2</v>
      </c>
      <c r="D13" s="44" t="s">
        <v>289</v>
      </c>
      <c r="E13" s="30">
        <f>C13*F12</f>
        <v>132</v>
      </c>
      <c r="F13" s="30"/>
      <c r="G13" s="30">
        <f>C13*G12</f>
        <v>220</v>
      </c>
    </row>
    <row r="14" spans="1:7" ht="15.75" x14ac:dyDescent="0.25">
      <c r="A14" s="330"/>
      <c r="B14" s="6" t="s">
        <v>137</v>
      </c>
      <c r="C14" s="169">
        <v>5.0000000000000001E-3</v>
      </c>
      <c r="D14" s="44" t="s">
        <v>439</v>
      </c>
      <c r="E14" s="30">
        <f>C14*F12</f>
        <v>30</v>
      </c>
      <c r="F14" s="32"/>
      <c r="G14" s="30">
        <f>C14*G$12</f>
        <v>50</v>
      </c>
    </row>
    <row r="15" spans="1:7" ht="15.75" x14ac:dyDescent="0.25">
      <c r="A15" s="330"/>
      <c r="B15" s="6" t="s">
        <v>10</v>
      </c>
      <c r="C15" s="169">
        <v>1.818E-3</v>
      </c>
      <c r="D15" s="44" t="s">
        <v>291</v>
      </c>
      <c r="E15" s="30">
        <f>C15*F12</f>
        <v>10.907999999999999</v>
      </c>
      <c r="F15" s="32"/>
      <c r="G15" s="30">
        <f t="shared" ref="G15:G20" si="0">C15*G$12</f>
        <v>18.18</v>
      </c>
    </row>
    <row r="16" spans="1:7" ht="15.75" x14ac:dyDescent="0.25">
      <c r="A16" s="330"/>
      <c r="B16" s="6" t="s">
        <v>11</v>
      </c>
      <c r="C16" s="169">
        <v>1.6559999999999999E-3</v>
      </c>
      <c r="D16" s="44" t="s">
        <v>440</v>
      </c>
      <c r="E16" s="30">
        <f>C16*F12</f>
        <v>9.9359999999999999</v>
      </c>
      <c r="F16" s="32"/>
      <c r="G16" s="30">
        <f t="shared" si="0"/>
        <v>16.559999999999999</v>
      </c>
    </row>
    <row r="17" spans="1:7" ht="15.75" x14ac:dyDescent="0.25">
      <c r="A17" s="330"/>
      <c r="B17" s="6" t="s">
        <v>12</v>
      </c>
      <c r="C17" s="169">
        <v>1</v>
      </c>
      <c r="D17" s="44" t="s">
        <v>441</v>
      </c>
      <c r="E17" s="31">
        <f>C17*F12</f>
        <v>6000</v>
      </c>
      <c r="F17" s="33"/>
      <c r="G17" s="31">
        <f t="shared" si="0"/>
        <v>10000</v>
      </c>
    </row>
    <row r="18" spans="1:7" ht="15.75" x14ac:dyDescent="0.25">
      <c r="A18" s="330"/>
      <c r="B18" s="6" t="s">
        <v>13</v>
      </c>
      <c r="C18" s="169">
        <v>1</v>
      </c>
      <c r="D18" s="44" t="s">
        <v>442</v>
      </c>
      <c r="E18" s="31">
        <f>C18*F12</f>
        <v>6000</v>
      </c>
      <c r="F18" s="33"/>
      <c r="G18" s="31">
        <f t="shared" si="0"/>
        <v>10000</v>
      </c>
    </row>
    <row r="19" spans="1:7" ht="15.75" x14ac:dyDescent="0.25">
      <c r="A19" s="330"/>
      <c r="B19" s="6" t="s">
        <v>14</v>
      </c>
      <c r="C19" s="169">
        <v>1</v>
      </c>
      <c r="D19" s="44" t="s">
        <v>276</v>
      </c>
      <c r="E19" s="31">
        <f>C19*F12</f>
        <v>6000</v>
      </c>
      <c r="F19" s="33"/>
      <c r="G19" s="31">
        <f t="shared" si="0"/>
        <v>10000</v>
      </c>
    </row>
    <row r="20" spans="1:7" ht="15.75" thickBot="1" x14ac:dyDescent="0.3">
      <c r="A20" s="331"/>
      <c r="B20" s="23" t="s">
        <v>15</v>
      </c>
      <c r="C20" s="170">
        <v>1.3888899999999999E-2</v>
      </c>
      <c r="D20" s="44" t="s">
        <v>281</v>
      </c>
      <c r="E20" s="31">
        <f>C20*F12</f>
        <v>83.333399999999997</v>
      </c>
      <c r="F20" s="33"/>
      <c r="G20" s="31">
        <f t="shared" si="0"/>
        <v>138.88899999999998</v>
      </c>
    </row>
    <row r="23" spans="1:7" ht="15.75" x14ac:dyDescent="0.25">
      <c r="A23" s="124" t="s">
        <v>233</v>
      </c>
      <c r="B23" s="124" t="s">
        <v>233</v>
      </c>
      <c r="C23" s="125" t="s">
        <v>234</v>
      </c>
    </row>
    <row r="24" spans="1:7" ht="15.75" x14ac:dyDescent="0.25">
      <c r="A24" s="122" t="s">
        <v>235</v>
      </c>
      <c r="B24" s="122" t="s">
        <v>236</v>
      </c>
      <c r="C24" s="123" t="s">
        <v>237</v>
      </c>
    </row>
    <row r="25" spans="1:7" ht="15.75" x14ac:dyDescent="0.25">
      <c r="A25" s="122" t="s">
        <v>238</v>
      </c>
      <c r="B25" s="122" t="s">
        <v>239</v>
      </c>
      <c r="C25" s="123" t="s">
        <v>240</v>
      </c>
    </row>
    <row r="26" spans="1:7" x14ac:dyDescent="0.25">
      <c r="A26" s="121"/>
      <c r="B26" s="121"/>
    </row>
    <row r="27" spans="1:7" x14ac:dyDescent="0.25">
      <c r="A27" s="121"/>
      <c r="B27" s="121"/>
    </row>
    <row r="28" spans="1:7" x14ac:dyDescent="0.25">
      <c r="A28" s="121"/>
      <c r="B28" s="121"/>
    </row>
    <row r="29" spans="1:7" x14ac:dyDescent="0.25">
      <c r="A29" s="121"/>
      <c r="B29" s="121"/>
    </row>
    <row r="30" spans="1:7" x14ac:dyDescent="0.25">
      <c r="A30" s="121"/>
      <c r="B30" s="121"/>
    </row>
    <row r="31" spans="1:7" x14ac:dyDescent="0.25">
      <c r="A31" s="121"/>
      <c r="B31" s="121"/>
    </row>
  </sheetData>
  <mergeCells count="1">
    <mergeCell ref="A13:A20"/>
  </mergeCells>
  <pageMargins left="0.7" right="0.7" top="0.75" bottom="0.75" header="0.3" footer="0.3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4"/>
  <dimension ref="A3:H35"/>
  <sheetViews>
    <sheetView view="pageLayout" topLeftCell="B7" workbookViewId="0">
      <selection activeCell="F25" sqref="F25"/>
    </sheetView>
  </sheetViews>
  <sheetFormatPr baseColWidth="10" defaultRowHeight="15" x14ac:dyDescent="0.25"/>
  <cols>
    <col min="1" max="1" width="25.5703125" customWidth="1"/>
    <col min="2" max="2" width="36.5703125" customWidth="1"/>
    <col min="3" max="3" width="13.140625" customWidth="1"/>
    <col min="5" max="5" width="11.42578125" style="162"/>
  </cols>
  <sheetData>
    <row r="3" spans="1:8" ht="20.25" x14ac:dyDescent="0.3">
      <c r="A3" s="2"/>
      <c r="B3" s="4" t="s">
        <v>0</v>
      </c>
      <c r="C3" s="2"/>
    </row>
    <row r="4" spans="1:8" ht="15.75" x14ac:dyDescent="0.25">
      <c r="A4" s="2"/>
      <c r="B4" s="2"/>
      <c r="C4" s="2"/>
    </row>
    <row r="5" spans="1:8" ht="20.25" x14ac:dyDescent="0.3">
      <c r="A5" s="1"/>
      <c r="B5" s="4" t="s">
        <v>138</v>
      </c>
      <c r="C5" s="2"/>
    </row>
    <row r="6" spans="1:8" ht="20.25" x14ac:dyDescent="0.3">
      <c r="A6" s="4"/>
      <c r="B6" s="2"/>
      <c r="C6" s="2"/>
    </row>
    <row r="7" spans="1:8" ht="15.75" x14ac:dyDescent="0.25">
      <c r="A7" s="3" t="s">
        <v>103</v>
      </c>
      <c r="B7" s="3" t="s">
        <v>66</v>
      </c>
      <c r="C7" s="5"/>
    </row>
    <row r="8" spans="1:8" ht="15.75" x14ac:dyDescent="0.25">
      <c r="A8" s="3" t="s">
        <v>2</v>
      </c>
      <c r="B8" s="3" t="s">
        <v>54</v>
      </c>
      <c r="C8" s="5"/>
    </row>
    <row r="9" spans="1:8" ht="15.75" x14ac:dyDescent="0.25">
      <c r="A9" s="3" t="s">
        <v>4</v>
      </c>
      <c r="B9" s="3" t="s">
        <v>55</v>
      </c>
      <c r="C9" s="5"/>
    </row>
    <row r="10" spans="1:8" ht="16.5" thickBot="1" x14ac:dyDescent="0.3">
      <c r="A10" s="3" t="s">
        <v>5</v>
      </c>
      <c r="B10" s="3" t="s">
        <v>40</v>
      </c>
      <c r="C10" s="5"/>
    </row>
    <row r="11" spans="1:8" ht="16.5" thickBot="1" x14ac:dyDescent="0.3">
      <c r="A11" s="3" t="s">
        <v>6</v>
      </c>
      <c r="B11" s="3" t="s">
        <v>68</v>
      </c>
      <c r="C11" s="5"/>
      <c r="F11" s="29" t="s">
        <v>171</v>
      </c>
      <c r="G11" s="28"/>
      <c r="H11" s="51"/>
    </row>
    <row r="12" spans="1:8" ht="15.75" x14ac:dyDescent="0.25">
      <c r="A12" s="3" t="s">
        <v>69</v>
      </c>
      <c r="B12" s="3" t="s">
        <v>139</v>
      </c>
      <c r="C12" s="5"/>
      <c r="F12" s="12" t="s">
        <v>158</v>
      </c>
      <c r="G12" s="109">
        <v>230</v>
      </c>
      <c r="H12" s="46"/>
    </row>
    <row r="13" spans="1:8" ht="15.75" x14ac:dyDescent="0.25">
      <c r="A13" s="3" t="s">
        <v>8</v>
      </c>
      <c r="B13" s="3"/>
      <c r="C13" s="5"/>
      <c r="E13" s="44" t="s">
        <v>274</v>
      </c>
      <c r="F13" s="12" t="s">
        <v>160</v>
      </c>
      <c r="G13" s="126">
        <f>G12*1000/4.2</f>
        <v>54761.904761904756</v>
      </c>
      <c r="H13" s="46"/>
    </row>
    <row r="14" spans="1:8" ht="15.75" x14ac:dyDescent="0.25">
      <c r="A14" s="332" t="s">
        <v>9</v>
      </c>
      <c r="B14" s="18" t="s">
        <v>140</v>
      </c>
      <c r="C14" s="13">
        <v>7.5000000000000002E-4</v>
      </c>
      <c r="D14" t="s">
        <v>174</v>
      </c>
      <c r="E14" s="44" t="s">
        <v>284</v>
      </c>
      <c r="F14" s="30">
        <f>C14*G13</f>
        <v>41.071428571428569</v>
      </c>
      <c r="G14" s="53"/>
      <c r="H14" s="32"/>
    </row>
    <row r="15" spans="1:8" ht="15.75" x14ac:dyDescent="0.25">
      <c r="A15" s="341"/>
      <c r="B15" s="18" t="s">
        <v>72</v>
      </c>
      <c r="C15" s="13">
        <v>3.3E-3</v>
      </c>
      <c r="D15" t="s">
        <v>174</v>
      </c>
      <c r="E15" s="44"/>
      <c r="F15" s="30">
        <f>C15*G13</f>
        <v>180.71428571428569</v>
      </c>
      <c r="G15" s="53"/>
      <c r="H15" s="32"/>
    </row>
    <row r="16" spans="1:8" ht="15.75" x14ac:dyDescent="0.25">
      <c r="A16" s="341"/>
      <c r="B16" s="18" t="s">
        <v>73</v>
      </c>
      <c r="C16" s="13">
        <v>1.44E-4</v>
      </c>
      <c r="D16" t="s">
        <v>174</v>
      </c>
      <c r="E16" s="44"/>
      <c r="F16" s="30">
        <f>C16*G13</f>
        <v>7.8857142857142852</v>
      </c>
      <c r="G16" s="53"/>
      <c r="H16" s="32"/>
    </row>
    <row r="17" spans="1:8" ht="15.75" x14ac:dyDescent="0.25">
      <c r="A17" s="341"/>
      <c r="B17" s="18" t="s">
        <v>74</v>
      </c>
      <c r="C17" s="13">
        <v>6.0000000000000002E-6</v>
      </c>
      <c r="D17" t="s">
        <v>174</v>
      </c>
      <c r="E17" s="44" t="s">
        <v>285</v>
      </c>
      <c r="F17" s="30">
        <f>C17*G13</f>
        <v>0.32857142857142857</v>
      </c>
      <c r="G17" s="53"/>
      <c r="H17" s="32"/>
    </row>
    <row r="18" spans="1:8" ht="15.75" x14ac:dyDescent="0.25">
      <c r="A18" s="341"/>
      <c r="B18" s="18" t="s">
        <v>47</v>
      </c>
      <c r="C18" s="13">
        <v>5.718E-3</v>
      </c>
      <c r="D18" t="s">
        <v>174</v>
      </c>
      <c r="F18" s="30">
        <f>C18*G13</f>
        <v>313.12857142857138</v>
      </c>
      <c r="G18" s="54"/>
      <c r="H18" s="33"/>
    </row>
    <row r="19" spans="1:8" ht="15.75" x14ac:dyDescent="0.25">
      <c r="A19" s="341"/>
      <c r="B19" s="18" t="s">
        <v>48</v>
      </c>
      <c r="C19" s="13">
        <v>1.4339999999999999E-3</v>
      </c>
      <c r="D19" t="s">
        <v>174</v>
      </c>
      <c r="F19" s="30">
        <f>C19*G13</f>
        <v>78.528571428571411</v>
      </c>
      <c r="G19" s="54"/>
      <c r="H19" s="33"/>
    </row>
    <row r="20" spans="1:8" ht="15.75" x14ac:dyDescent="0.25">
      <c r="A20" s="341"/>
      <c r="B20" s="18" t="s">
        <v>12</v>
      </c>
      <c r="C20" s="13">
        <v>1</v>
      </c>
      <c r="D20" t="s">
        <v>161</v>
      </c>
      <c r="F20" s="31">
        <f>C20*G13</f>
        <v>54761.904761904756</v>
      </c>
      <c r="G20" s="54"/>
      <c r="H20" s="33"/>
    </row>
    <row r="21" spans="1:8" ht="15.75" x14ac:dyDescent="0.25">
      <c r="A21" s="341"/>
      <c r="B21" s="18" t="s">
        <v>13</v>
      </c>
      <c r="C21" s="13">
        <v>1</v>
      </c>
      <c r="D21" t="s">
        <v>161</v>
      </c>
      <c r="F21" s="31">
        <f>C21*G13</f>
        <v>54761.904761904756</v>
      </c>
      <c r="G21" s="54"/>
      <c r="H21" s="33"/>
    </row>
    <row r="22" spans="1:8" ht="15.75" x14ac:dyDescent="0.25">
      <c r="A22" s="341"/>
      <c r="B22" s="18" t="s">
        <v>14</v>
      </c>
      <c r="C22" s="111">
        <v>1</v>
      </c>
      <c r="D22" t="s">
        <v>161</v>
      </c>
      <c r="F22" s="31">
        <f>C22*G13</f>
        <v>54761.904761904756</v>
      </c>
      <c r="G22" s="52"/>
      <c r="H22" s="1"/>
    </row>
    <row r="23" spans="1:8" ht="15.75" x14ac:dyDescent="0.25">
      <c r="A23" s="358"/>
      <c r="B23" s="21" t="s">
        <v>49</v>
      </c>
      <c r="C23" s="14">
        <v>5.0000000000000001E-3</v>
      </c>
      <c r="D23" t="s">
        <v>161</v>
      </c>
      <c r="F23" s="31">
        <f>C23*G13</f>
        <v>273.8095238095238</v>
      </c>
      <c r="G23" s="55"/>
      <c r="H23" s="1"/>
    </row>
    <row r="24" spans="1:8" x14ac:dyDescent="0.25">
      <c r="F24" s="33"/>
      <c r="G24" s="1"/>
      <c r="H24" s="1"/>
    </row>
    <row r="26" spans="1:8" ht="15.75" x14ac:dyDescent="0.25">
      <c r="A26" s="124" t="s">
        <v>233</v>
      </c>
      <c r="B26" s="124" t="s">
        <v>233</v>
      </c>
      <c r="C26" s="125" t="s">
        <v>234</v>
      </c>
    </row>
    <row r="27" spans="1:8" ht="15.75" x14ac:dyDescent="0.25">
      <c r="A27" s="122" t="s">
        <v>235</v>
      </c>
      <c r="B27" s="122" t="s">
        <v>236</v>
      </c>
      <c r="C27" s="123" t="s">
        <v>237</v>
      </c>
    </row>
    <row r="28" spans="1:8" ht="15.75" x14ac:dyDescent="0.25">
      <c r="A28" s="122" t="s">
        <v>238</v>
      </c>
      <c r="B28" s="122" t="s">
        <v>239</v>
      </c>
      <c r="C28" s="123" t="s">
        <v>240</v>
      </c>
    </row>
    <row r="29" spans="1:8" x14ac:dyDescent="0.25">
      <c r="A29" s="121"/>
      <c r="B29" s="121"/>
    </row>
    <row r="30" spans="1:8" x14ac:dyDescent="0.25">
      <c r="A30" s="121"/>
      <c r="B30" s="121"/>
    </row>
    <row r="31" spans="1:8" x14ac:dyDescent="0.25">
      <c r="A31" s="121"/>
      <c r="B31" s="121"/>
    </row>
    <row r="32" spans="1:8" x14ac:dyDescent="0.25">
      <c r="A32" s="121"/>
      <c r="B32" s="121"/>
    </row>
    <row r="33" spans="1:2" x14ac:dyDescent="0.25">
      <c r="A33" s="121"/>
      <c r="B33" s="121"/>
    </row>
    <row r="34" spans="1:2" x14ac:dyDescent="0.25">
      <c r="A34" s="121"/>
      <c r="B34" s="121"/>
    </row>
    <row r="35" spans="1:2" x14ac:dyDescent="0.25">
      <c r="A35" s="121"/>
      <c r="B35" s="121"/>
    </row>
  </sheetData>
  <mergeCells count="1">
    <mergeCell ref="A14:A23"/>
  </mergeCells>
  <pageMargins left="0.7" right="0.7" top="0.75" bottom="0.75" header="0.3" footer="0.3"/>
  <pageSetup paperSize="9" orientation="landscape" horizontalDpi="300" verticalDpi="300" r:id="rId1"/>
  <legacy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:H24"/>
  <sheetViews>
    <sheetView view="pageLayout" workbookViewId="0">
      <selection activeCell="H21" sqref="H21"/>
    </sheetView>
  </sheetViews>
  <sheetFormatPr baseColWidth="10" defaultRowHeight="15" x14ac:dyDescent="0.25"/>
  <cols>
    <col min="1" max="1" width="26.7109375" customWidth="1"/>
    <col min="2" max="2" width="32" customWidth="1"/>
    <col min="3" max="3" width="13.42578125" customWidth="1"/>
  </cols>
  <sheetData>
    <row r="1" spans="1:8" ht="20.25" x14ac:dyDescent="0.3">
      <c r="A1" s="2"/>
      <c r="B1" s="4" t="s">
        <v>0</v>
      </c>
      <c r="C1" s="2"/>
      <c r="D1" s="120"/>
      <c r="E1" s="120"/>
      <c r="F1" s="120"/>
    </row>
    <row r="2" spans="1:8" ht="15.75" x14ac:dyDescent="0.25">
      <c r="A2" s="2"/>
      <c r="B2" s="2"/>
      <c r="C2" s="2"/>
      <c r="D2" s="120"/>
      <c r="E2" s="120"/>
      <c r="F2" s="120"/>
    </row>
    <row r="3" spans="1:8" ht="20.25" x14ac:dyDescent="0.3">
      <c r="A3" s="1"/>
      <c r="B3" s="4" t="s">
        <v>263</v>
      </c>
      <c r="C3" s="2"/>
      <c r="D3" s="160"/>
      <c r="E3" s="160"/>
      <c r="F3" s="160"/>
      <c r="G3" s="171" t="s">
        <v>297</v>
      </c>
      <c r="H3" s="160"/>
    </row>
    <row r="4" spans="1:8" ht="20.25" x14ac:dyDescent="0.3">
      <c r="A4" s="4"/>
      <c r="B4" s="2"/>
      <c r="C4" s="2"/>
      <c r="E4" s="120"/>
      <c r="F4" s="120"/>
    </row>
    <row r="5" spans="1:8" ht="15.75" x14ac:dyDescent="0.25">
      <c r="A5" s="161" t="s">
        <v>1</v>
      </c>
      <c r="B5" s="161" t="s">
        <v>264</v>
      </c>
      <c r="C5" s="5"/>
      <c r="D5" s="121"/>
      <c r="E5" s="120"/>
      <c r="F5" s="120"/>
    </row>
    <row r="6" spans="1:8" ht="15.75" x14ac:dyDescent="0.25">
      <c r="A6" s="161" t="s">
        <v>2</v>
      </c>
      <c r="B6" s="161" t="s">
        <v>3</v>
      </c>
      <c r="C6" s="5"/>
      <c r="D6" s="121"/>
      <c r="E6" s="120"/>
      <c r="F6" s="120"/>
    </row>
    <row r="7" spans="1:8" ht="15.75" x14ac:dyDescent="0.25">
      <c r="A7" s="161" t="s">
        <v>4</v>
      </c>
      <c r="B7" s="161" t="s">
        <v>30</v>
      </c>
      <c r="C7" s="5"/>
      <c r="D7" s="121"/>
      <c r="E7" s="120"/>
      <c r="F7" s="120"/>
    </row>
    <row r="8" spans="1:8" ht="15.75" x14ac:dyDescent="0.25">
      <c r="A8" s="161" t="s">
        <v>5</v>
      </c>
      <c r="B8" s="161" t="s">
        <v>31</v>
      </c>
      <c r="C8" s="5"/>
      <c r="D8" s="121"/>
      <c r="E8" s="12" t="s">
        <v>156</v>
      </c>
      <c r="F8" s="44">
        <v>216000</v>
      </c>
      <c r="G8" s="44">
        <v>211001</v>
      </c>
    </row>
    <row r="9" spans="1:8" ht="15.75" x14ac:dyDescent="0.25">
      <c r="A9" s="161" t="s">
        <v>6</v>
      </c>
      <c r="B9" s="161" t="s">
        <v>143</v>
      </c>
      <c r="C9" s="5"/>
      <c r="D9" s="121"/>
      <c r="E9" s="166" t="s">
        <v>158</v>
      </c>
      <c r="F9" s="12">
        <v>100</v>
      </c>
      <c r="G9" s="45">
        <v>133.12</v>
      </c>
    </row>
    <row r="10" spans="1:8" ht="15.75" x14ac:dyDescent="0.25">
      <c r="A10" s="3" t="s">
        <v>8</v>
      </c>
      <c r="B10" s="3"/>
      <c r="C10" s="5"/>
      <c r="D10" s="161" t="s">
        <v>274</v>
      </c>
      <c r="E10" s="19" t="s">
        <v>160</v>
      </c>
      <c r="F10" s="12">
        <f>F9*1000/10.24</f>
        <v>9765.625</v>
      </c>
      <c r="G10" s="12">
        <f>G9*1000/10.24</f>
        <v>13000</v>
      </c>
    </row>
    <row r="11" spans="1:8" x14ac:dyDescent="0.25">
      <c r="A11" s="359" t="s">
        <v>9</v>
      </c>
      <c r="B11" s="161" t="s">
        <v>282</v>
      </c>
      <c r="C11" s="165">
        <v>7.1999999999999998E-3</v>
      </c>
      <c r="D11" s="167" t="s">
        <v>283</v>
      </c>
      <c r="F11" s="30">
        <f>C11*F10</f>
        <v>70.3125</v>
      </c>
      <c r="G11" s="30">
        <f t="shared" ref="G11:G19" si="0">C11*G$10</f>
        <v>93.6</v>
      </c>
    </row>
    <row r="12" spans="1:8" x14ac:dyDescent="0.25">
      <c r="A12" s="359"/>
      <c r="B12" s="161" t="s">
        <v>266</v>
      </c>
      <c r="C12" s="165">
        <v>1.1199999999999999E-3</v>
      </c>
      <c r="D12" s="167" t="s">
        <v>278</v>
      </c>
      <c r="F12" s="30">
        <f>C12*F10</f>
        <v>10.937499999999998</v>
      </c>
      <c r="G12" s="30">
        <f t="shared" si="0"/>
        <v>14.559999999999999</v>
      </c>
    </row>
    <row r="13" spans="1:8" x14ac:dyDescent="0.25">
      <c r="A13" s="359"/>
      <c r="B13" s="161" t="s">
        <v>267</v>
      </c>
      <c r="C13" s="165">
        <v>1.92E-3</v>
      </c>
      <c r="D13" s="167" t="s">
        <v>279</v>
      </c>
      <c r="F13" s="30">
        <f>C13*F10</f>
        <v>18.75</v>
      </c>
      <c r="G13" s="30">
        <f t="shared" si="0"/>
        <v>24.96</v>
      </c>
    </row>
    <row r="14" spans="1:8" x14ac:dyDescent="0.25">
      <c r="A14" s="359"/>
      <c r="B14" s="161" t="s">
        <v>268</v>
      </c>
      <c r="C14" s="165">
        <v>1.818E-3</v>
      </c>
      <c r="D14" s="167" t="s">
        <v>280</v>
      </c>
      <c r="F14" s="30">
        <f>C14*F10</f>
        <v>17.75390625</v>
      </c>
      <c r="G14" s="30">
        <f t="shared" si="0"/>
        <v>23.634</v>
      </c>
    </row>
    <row r="15" spans="1:8" x14ac:dyDescent="0.25">
      <c r="A15" s="359"/>
      <c r="B15" s="161" t="s">
        <v>269</v>
      </c>
      <c r="C15" s="165">
        <v>1.6559999999999999E-3</v>
      </c>
      <c r="D15" s="167" t="s">
        <v>275</v>
      </c>
      <c r="F15" s="31">
        <f>C15*F10</f>
        <v>16.171875</v>
      </c>
      <c r="G15" s="30">
        <f t="shared" si="0"/>
        <v>21.527999999999999</v>
      </c>
    </row>
    <row r="16" spans="1:8" x14ac:dyDescent="0.25">
      <c r="A16" s="359"/>
      <c r="B16" s="161" t="s">
        <v>12</v>
      </c>
      <c r="C16" s="165">
        <v>1</v>
      </c>
      <c r="D16" s="167" t="s">
        <v>277</v>
      </c>
      <c r="F16" s="31">
        <f>C16*F10</f>
        <v>9765.625</v>
      </c>
      <c r="G16" s="30">
        <f t="shared" si="0"/>
        <v>13000</v>
      </c>
    </row>
    <row r="17" spans="1:7" x14ac:dyDescent="0.25">
      <c r="A17" s="359"/>
      <c r="B17" s="161" t="s">
        <v>13</v>
      </c>
      <c r="C17" s="165">
        <v>1</v>
      </c>
      <c r="D17" s="44" t="s">
        <v>288</v>
      </c>
      <c r="F17" s="31">
        <f>C17*F10</f>
        <v>9765.625</v>
      </c>
      <c r="G17" s="30">
        <f t="shared" si="0"/>
        <v>13000</v>
      </c>
    </row>
    <row r="18" spans="1:7" x14ac:dyDescent="0.25">
      <c r="A18" s="359"/>
      <c r="B18" s="161" t="s">
        <v>14</v>
      </c>
      <c r="C18" s="165">
        <v>1</v>
      </c>
      <c r="D18" s="167" t="s">
        <v>276</v>
      </c>
      <c r="F18" s="31">
        <f>C18*F10</f>
        <v>9765.625</v>
      </c>
      <c r="G18" s="30">
        <f t="shared" si="0"/>
        <v>13000</v>
      </c>
    </row>
    <row r="19" spans="1:7" x14ac:dyDescent="0.25">
      <c r="A19" s="359"/>
      <c r="B19" s="161" t="s">
        <v>15</v>
      </c>
      <c r="C19" s="165">
        <v>0.01</v>
      </c>
      <c r="D19" s="167" t="s">
        <v>281</v>
      </c>
      <c r="F19" s="31">
        <f>C19*F10</f>
        <v>97.65625</v>
      </c>
      <c r="G19" s="30">
        <f t="shared" si="0"/>
        <v>130</v>
      </c>
    </row>
    <row r="22" spans="1:7" ht="15.75" x14ac:dyDescent="0.25">
      <c r="A22" s="124" t="s">
        <v>233</v>
      </c>
      <c r="B22" s="124" t="s">
        <v>233</v>
      </c>
      <c r="C22" s="125" t="s">
        <v>234</v>
      </c>
    </row>
    <row r="23" spans="1:7" ht="15.75" x14ac:dyDescent="0.25">
      <c r="A23" s="122" t="s">
        <v>235</v>
      </c>
      <c r="B23" s="122" t="s">
        <v>236</v>
      </c>
      <c r="C23" s="123" t="s">
        <v>237</v>
      </c>
    </row>
    <row r="24" spans="1:7" ht="15.75" x14ac:dyDescent="0.25">
      <c r="A24" s="122" t="s">
        <v>238</v>
      </c>
      <c r="B24" s="122" t="s">
        <v>239</v>
      </c>
      <c r="C24" s="123" t="s">
        <v>240</v>
      </c>
    </row>
  </sheetData>
  <mergeCells count="1">
    <mergeCell ref="A11:A19"/>
  </mergeCells>
  <pageMargins left="0.7" right="0.7" top="0.75" bottom="0.75" header="0.3" footer="0.3"/>
  <pageSetup paperSize="9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:H24"/>
  <sheetViews>
    <sheetView workbookViewId="0">
      <selection activeCell="I15" sqref="I15"/>
    </sheetView>
  </sheetViews>
  <sheetFormatPr baseColWidth="10" defaultRowHeight="15" x14ac:dyDescent="0.25"/>
  <cols>
    <col min="1" max="1" width="26.7109375" style="162" customWidth="1"/>
    <col min="2" max="2" width="34.85546875" style="162" customWidth="1"/>
    <col min="3" max="3" width="13.42578125" style="162" customWidth="1"/>
    <col min="4" max="6" width="11.42578125" style="162"/>
    <col min="7" max="7" width="12.42578125" style="162" customWidth="1"/>
    <col min="8" max="16384" width="11.42578125" style="162"/>
  </cols>
  <sheetData>
    <row r="1" spans="1:8" ht="20.25" x14ac:dyDescent="0.3">
      <c r="A1" s="2"/>
      <c r="B1" s="4" t="s">
        <v>0</v>
      </c>
      <c r="C1" s="2"/>
    </row>
    <row r="2" spans="1:8" ht="15.75" x14ac:dyDescent="0.25">
      <c r="A2" s="2"/>
      <c r="B2" s="2"/>
      <c r="C2" s="2"/>
    </row>
    <row r="3" spans="1:8" ht="20.25" x14ac:dyDescent="0.3">
      <c r="A3" s="1"/>
      <c r="B3" s="4" t="s">
        <v>270</v>
      </c>
      <c r="C3" s="2"/>
      <c r="G3" s="171" t="s">
        <v>297</v>
      </c>
    </row>
    <row r="4" spans="1:8" ht="20.25" x14ac:dyDescent="0.3">
      <c r="A4" s="4"/>
      <c r="B4" s="2"/>
      <c r="C4" s="2"/>
    </row>
    <row r="5" spans="1:8" ht="15.75" x14ac:dyDescent="0.25">
      <c r="A5" s="161" t="s">
        <v>1</v>
      </c>
      <c r="B5" s="161" t="s">
        <v>271</v>
      </c>
      <c r="C5" s="5"/>
    </row>
    <row r="6" spans="1:8" ht="15.75" x14ac:dyDescent="0.25">
      <c r="A6" s="161" t="s">
        <v>2</v>
      </c>
      <c r="B6" s="161" t="s">
        <v>3</v>
      </c>
      <c r="C6" s="5"/>
    </row>
    <row r="7" spans="1:8" ht="15.75" x14ac:dyDescent="0.25">
      <c r="A7" s="161" t="s">
        <v>4</v>
      </c>
      <c r="B7" s="161" t="s">
        <v>30</v>
      </c>
      <c r="C7" s="5"/>
    </row>
    <row r="8" spans="1:8" ht="15.75" x14ac:dyDescent="0.25">
      <c r="A8" s="161" t="s">
        <v>5</v>
      </c>
      <c r="B8" s="161" t="s">
        <v>31</v>
      </c>
      <c r="C8" s="5"/>
      <c r="E8" s="360" t="s">
        <v>156</v>
      </c>
      <c r="F8" s="361"/>
      <c r="G8" s="362"/>
    </row>
    <row r="9" spans="1:8" ht="15.75" x14ac:dyDescent="0.25">
      <c r="A9" s="161" t="s">
        <v>6</v>
      </c>
      <c r="B9" s="161" t="s">
        <v>143</v>
      </c>
      <c r="C9" s="5"/>
      <c r="E9" s="12" t="s">
        <v>158</v>
      </c>
      <c r="F9" s="55">
        <v>100</v>
      </c>
      <c r="G9" s="105">
        <v>221.87</v>
      </c>
    </row>
    <row r="10" spans="1:8" ht="15.75" x14ac:dyDescent="0.25">
      <c r="A10" s="3" t="s">
        <v>8</v>
      </c>
      <c r="B10" s="3"/>
      <c r="C10" s="5"/>
      <c r="D10" s="44" t="s">
        <v>274</v>
      </c>
      <c r="E10" s="19" t="s">
        <v>160</v>
      </c>
      <c r="F10" s="31">
        <f>F9*1000/17.0666666666</f>
        <v>5859.3750000228883</v>
      </c>
      <c r="G10" s="31">
        <f>G9*1000/17.0666666</f>
        <v>13000.195363282011</v>
      </c>
    </row>
    <row r="11" spans="1:8" x14ac:dyDescent="0.25">
      <c r="A11" s="359" t="s">
        <v>9</v>
      </c>
      <c r="B11" s="161" t="s">
        <v>265</v>
      </c>
      <c r="C11" s="165">
        <v>1.2E-2</v>
      </c>
      <c r="D11" s="44" t="s">
        <v>283</v>
      </c>
      <c r="F11" s="30">
        <f>C11*F10</f>
        <v>70.312500000274667</v>
      </c>
      <c r="G11" s="30">
        <f>G10*C11</f>
        <v>156.00234435938415</v>
      </c>
    </row>
    <row r="12" spans="1:8" x14ac:dyDescent="0.25">
      <c r="A12" s="359"/>
      <c r="B12" s="161" t="s">
        <v>266</v>
      </c>
      <c r="C12" s="165">
        <v>1.8666666600000001E-3</v>
      </c>
      <c r="D12" s="44" t="s">
        <v>278</v>
      </c>
      <c r="F12" s="30">
        <f>C12*F10</f>
        <v>10.937499960980226</v>
      </c>
      <c r="G12" s="30">
        <f>G10*C12</f>
        <v>24.267031258125119</v>
      </c>
    </row>
    <row r="13" spans="1:8" x14ac:dyDescent="0.25">
      <c r="A13" s="359"/>
      <c r="B13" s="161" t="s">
        <v>267</v>
      </c>
      <c r="C13" s="165">
        <v>3.2000000000000002E-3</v>
      </c>
      <c r="D13" s="44" t="s">
        <v>279</v>
      </c>
      <c r="F13" s="30">
        <f>C13*F10</f>
        <v>18.750000000073243</v>
      </c>
      <c r="G13" s="30">
        <f>G10*C13</f>
        <v>41.600625162502439</v>
      </c>
      <c r="H13" s="164"/>
    </row>
    <row r="14" spans="1:8" x14ac:dyDescent="0.25">
      <c r="A14" s="359"/>
      <c r="B14" s="161" t="s">
        <v>268</v>
      </c>
      <c r="C14" s="165">
        <v>1.818E-3</v>
      </c>
      <c r="D14" s="44" t="s">
        <v>275</v>
      </c>
      <c r="F14" s="30">
        <f>C14*F10</f>
        <v>10.652343750041611</v>
      </c>
      <c r="G14" s="30">
        <f>G10*C14</f>
        <v>23.634355170446696</v>
      </c>
    </row>
    <row r="15" spans="1:8" x14ac:dyDescent="0.25">
      <c r="A15" s="359"/>
      <c r="B15" s="161" t="s">
        <v>269</v>
      </c>
      <c r="C15" s="165">
        <v>1.6559999999999999E-3</v>
      </c>
      <c r="D15" s="44" t="s">
        <v>286</v>
      </c>
      <c r="F15" s="31">
        <f>C15*F10</f>
        <v>9.7031250000379021</v>
      </c>
      <c r="G15" s="30">
        <f>G10*C15</f>
        <v>21.528323521595009</v>
      </c>
    </row>
    <row r="16" spans="1:8" x14ac:dyDescent="0.25">
      <c r="A16" s="359"/>
      <c r="B16" s="161" t="s">
        <v>12</v>
      </c>
      <c r="C16" s="165">
        <v>1</v>
      </c>
      <c r="D16" s="44" t="s">
        <v>287</v>
      </c>
      <c r="F16" s="31">
        <f>C16*F10</f>
        <v>5859.3750000228883</v>
      </c>
      <c r="G16" s="31">
        <f>G10*C16</f>
        <v>13000.195363282011</v>
      </c>
    </row>
    <row r="17" spans="1:7" x14ac:dyDescent="0.25">
      <c r="A17" s="359"/>
      <c r="B17" s="161" t="s">
        <v>13</v>
      </c>
      <c r="C17" s="165">
        <v>1</v>
      </c>
      <c r="D17" s="44" t="s">
        <v>288</v>
      </c>
      <c r="F17" s="31">
        <f>C17*F10</f>
        <v>5859.3750000228883</v>
      </c>
      <c r="G17" s="31">
        <f>G10*C17</f>
        <v>13000.195363282011</v>
      </c>
    </row>
    <row r="18" spans="1:7" x14ac:dyDescent="0.25">
      <c r="A18" s="359"/>
      <c r="B18" s="161" t="s">
        <v>14</v>
      </c>
      <c r="C18" s="165">
        <v>1</v>
      </c>
      <c r="D18" s="44" t="s">
        <v>276</v>
      </c>
      <c r="F18" s="31">
        <f>C18*F10</f>
        <v>5859.3750000228883</v>
      </c>
      <c r="G18" s="31">
        <f>G10*C18</f>
        <v>13000.195363282011</v>
      </c>
    </row>
    <row r="19" spans="1:7" x14ac:dyDescent="0.25">
      <c r="A19" s="359"/>
      <c r="B19" s="161" t="s">
        <v>15</v>
      </c>
      <c r="C19" s="165">
        <v>0.01</v>
      </c>
      <c r="D19" s="44" t="s">
        <v>281</v>
      </c>
      <c r="F19" s="31">
        <f>C19*F10</f>
        <v>58.593750000228887</v>
      </c>
      <c r="G19" s="31">
        <f>G10*C19</f>
        <v>130.00195363282012</v>
      </c>
    </row>
    <row r="22" spans="1:7" ht="15.75" x14ac:dyDescent="0.25">
      <c r="A22" s="124" t="s">
        <v>233</v>
      </c>
      <c r="B22" s="124" t="s">
        <v>233</v>
      </c>
      <c r="C22" s="125" t="s">
        <v>234</v>
      </c>
    </row>
    <row r="23" spans="1:7" ht="15.75" x14ac:dyDescent="0.25">
      <c r="A23" s="122" t="s">
        <v>235</v>
      </c>
      <c r="B23" s="122" t="s">
        <v>236</v>
      </c>
      <c r="C23" s="123" t="s">
        <v>237</v>
      </c>
    </row>
    <row r="24" spans="1:7" ht="15.75" x14ac:dyDescent="0.25">
      <c r="A24" s="122" t="s">
        <v>238</v>
      </c>
      <c r="B24" s="122" t="s">
        <v>239</v>
      </c>
      <c r="C24" s="123" t="s">
        <v>240</v>
      </c>
    </row>
  </sheetData>
  <mergeCells count="2">
    <mergeCell ref="A11:A19"/>
    <mergeCell ref="E8:G8"/>
  </mergeCells>
  <pageMargins left="0.7" right="0.7" top="0.75" bottom="0.75" header="0.3" footer="0.3"/>
  <pageSetup paperSize="9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:G24"/>
  <sheetViews>
    <sheetView workbookViewId="0">
      <selection activeCell="I19" sqref="I19"/>
    </sheetView>
  </sheetViews>
  <sheetFormatPr baseColWidth="10" defaultRowHeight="15" x14ac:dyDescent="0.25"/>
  <cols>
    <col min="1" max="1" width="26.7109375" style="162" customWidth="1"/>
    <col min="2" max="2" width="36.42578125" style="162" customWidth="1"/>
    <col min="3" max="3" width="10.85546875" style="162" customWidth="1"/>
    <col min="4" max="4" width="10" style="162" customWidth="1"/>
    <col min="5" max="5" width="11.28515625" style="162" customWidth="1"/>
    <col min="6" max="16384" width="11.42578125" style="162"/>
  </cols>
  <sheetData>
    <row r="1" spans="1:7" ht="20.25" x14ac:dyDescent="0.3">
      <c r="A1" s="2"/>
      <c r="B1" s="4" t="s">
        <v>0</v>
      </c>
      <c r="C1" s="2"/>
    </row>
    <row r="2" spans="1:7" ht="15.75" x14ac:dyDescent="0.25">
      <c r="A2" s="2"/>
      <c r="B2" s="2"/>
      <c r="C2" s="2"/>
    </row>
    <row r="3" spans="1:7" ht="20.25" x14ac:dyDescent="0.3">
      <c r="A3" s="1"/>
      <c r="B3" s="4" t="s">
        <v>273</v>
      </c>
      <c r="C3" s="2"/>
    </row>
    <row r="4" spans="1:7" ht="20.25" x14ac:dyDescent="0.3">
      <c r="A4" s="4"/>
      <c r="B4" s="2"/>
      <c r="C4" s="2"/>
      <c r="G4" s="171" t="s">
        <v>297</v>
      </c>
    </row>
    <row r="5" spans="1:7" ht="15.75" x14ac:dyDescent="0.25">
      <c r="A5" s="161" t="s">
        <v>1</v>
      </c>
      <c r="B5" s="161" t="s">
        <v>272</v>
      </c>
      <c r="C5" s="5"/>
    </row>
    <row r="6" spans="1:7" ht="15.75" x14ac:dyDescent="0.25">
      <c r="A6" s="161" t="s">
        <v>2</v>
      </c>
      <c r="B6" s="161" t="s">
        <v>3</v>
      </c>
      <c r="C6" s="5"/>
    </row>
    <row r="7" spans="1:7" ht="15.75" x14ac:dyDescent="0.25">
      <c r="A7" s="161" t="s">
        <v>4</v>
      </c>
      <c r="B7" s="161" t="s">
        <v>30</v>
      </c>
      <c r="C7" s="5"/>
    </row>
    <row r="8" spans="1:7" ht="15.75" x14ac:dyDescent="0.25">
      <c r="A8" s="161" t="s">
        <v>5</v>
      </c>
      <c r="B8" s="161" t="s">
        <v>31</v>
      </c>
      <c r="C8" s="5"/>
      <c r="F8" s="201" t="s">
        <v>472</v>
      </c>
      <c r="G8" s="202" t="s">
        <v>157</v>
      </c>
    </row>
    <row r="9" spans="1:7" ht="15.75" x14ac:dyDescent="0.25">
      <c r="A9" s="161" t="s">
        <v>6</v>
      </c>
      <c r="B9" s="161" t="s">
        <v>143</v>
      </c>
      <c r="C9" s="5"/>
      <c r="E9" s="12" t="s">
        <v>158</v>
      </c>
      <c r="F9" s="12">
        <v>100</v>
      </c>
      <c r="G9" s="44">
        <v>179.2</v>
      </c>
    </row>
    <row r="10" spans="1:7" ht="15.75" x14ac:dyDescent="0.25">
      <c r="A10" s="3" t="s">
        <v>8</v>
      </c>
      <c r="B10" s="3"/>
      <c r="C10" s="5"/>
      <c r="E10" s="12" t="s">
        <v>160</v>
      </c>
      <c r="F10" s="31">
        <f>F9*1000/25.6</f>
        <v>3906.25</v>
      </c>
      <c r="G10" s="44">
        <f>G9*1000/25.6</f>
        <v>7000</v>
      </c>
    </row>
    <row r="11" spans="1:7" x14ac:dyDescent="0.25">
      <c r="A11" s="359" t="s">
        <v>9</v>
      </c>
      <c r="B11" s="161" t="s">
        <v>265</v>
      </c>
      <c r="C11" s="163">
        <v>1.7999999999999999E-2</v>
      </c>
      <c r="D11" s="44" t="s">
        <v>283</v>
      </c>
      <c r="F11" s="30">
        <f>C11*F10</f>
        <v>70.3125</v>
      </c>
      <c r="G11" s="44">
        <f>G10*C11</f>
        <v>125.99999999999999</v>
      </c>
    </row>
    <row r="12" spans="1:7" x14ac:dyDescent="0.25">
      <c r="A12" s="359"/>
      <c r="B12" s="161" t="s">
        <v>266</v>
      </c>
      <c r="C12" s="163">
        <v>2.8E-3</v>
      </c>
      <c r="D12" s="44" t="s">
        <v>278</v>
      </c>
      <c r="F12" s="30">
        <f>C12*F10</f>
        <v>10.9375</v>
      </c>
      <c r="G12" s="44">
        <f>G10*C12</f>
        <v>19.600000000000001</v>
      </c>
    </row>
    <row r="13" spans="1:7" x14ac:dyDescent="0.25">
      <c r="A13" s="359"/>
      <c r="B13" s="161" t="s">
        <v>267</v>
      </c>
      <c r="C13" s="163">
        <v>4.7999999999999996E-3</v>
      </c>
      <c r="D13" s="44" t="s">
        <v>279</v>
      </c>
      <c r="F13" s="30">
        <f>C13*F10</f>
        <v>18.75</v>
      </c>
      <c r="G13" s="44">
        <f>G10*C13</f>
        <v>33.599999999999994</v>
      </c>
    </row>
    <row r="14" spans="1:7" x14ac:dyDescent="0.25">
      <c r="A14" s="359"/>
      <c r="B14" s="161" t="s">
        <v>268</v>
      </c>
      <c r="C14" s="163">
        <v>1.818E-3</v>
      </c>
      <c r="D14" s="44" t="s">
        <v>275</v>
      </c>
      <c r="F14" s="30">
        <f>C14*F10</f>
        <v>7.1015625</v>
      </c>
      <c r="G14" s="44">
        <f>G10*C14</f>
        <v>12.725999999999999</v>
      </c>
    </row>
    <row r="15" spans="1:7" x14ac:dyDescent="0.25">
      <c r="A15" s="359"/>
      <c r="B15" s="161" t="s">
        <v>269</v>
      </c>
      <c r="C15" s="163">
        <v>1.6559999999999999E-3</v>
      </c>
      <c r="D15" s="44" t="s">
        <v>286</v>
      </c>
      <c r="F15" s="31">
        <f>C15*F10</f>
        <v>6.46875</v>
      </c>
      <c r="G15" s="44">
        <f>G10*C15</f>
        <v>11.591999999999999</v>
      </c>
    </row>
    <row r="16" spans="1:7" x14ac:dyDescent="0.25">
      <c r="A16" s="359"/>
      <c r="B16" s="161" t="s">
        <v>12</v>
      </c>
      <c r="C16" s="163">
        <v>1</v>
      </c>
      <c r="D16" s="44" t="s">
        <v>287</v>
      </c>
      <c r="F16" s="31">
        <f>C16*F10</f>
        <v>3906.25</v>
      </c>
      <c r="G16" s="44">
        <f>G10*C16</f>
        <v>7000</v>
      </c>
    </row>
    <row r="17" spans="1:7" x14ac:dyDescent="0.25">
      <c r="A17" s="359"/>
      <c r="B17" s="161" t="s">
        <v>13</v>
      </c>
      <c r="C17" s="163">
        <v>1</v>
      </c>
      <c r="D17" s="44" t="s">
        <v>288</v>
      </c>
      <c r="F17" s="31">
        <f>C17*F10</f>
        <v>3906.25</v>
      </c>
      <c r="G17" s="44">
        <f>G10*C17</f>
        <v>7000</v>
      </c>
    </row>
    <row r="18" spans="1:7" x14ac:dyDescent="0.25">
      <c r="A18" s="359"/>
      <c r="B18" s="161" t="s">
        <v>14</v>
      </c>
      <c r="C18" s="163">
        <v>1</v>
      </c>
      <c r="D18" s="44" t="s">
        <v>276</v>
      </c>
      <c r="F18" s="31">
        <f>C18*F10</f>
        <v>3906.25</v>
      </c>
      <c r="G18" s="44">
        <f>G10*C18</f>
        <v>7000</v>
      </c>
    </row>
    <row r="19" spans="1:7" x14ac:dyDescent="0.25">
      <c r="A19" s="359"/>
      <c r="B19" s="161" t="s">
        <v>15</v>
      </c>
      <c r="C19" s="163">
        <v>0.01</v>
      </c>
      <c r="D19" s="44" t="s">
        <v>281</v>
      </c>
      <c r="F19" s="31">
        <f>C19*F10</f>
        <v>39.0625</v>
      </c>
      <c r="G19" s="44">
        <f>G10*C19</f>
        <v>70</v>
      </c>
    </row>
    <row r="22" spans="1:7" ht="15.75" x14ac:dyDescent="0.25">
      <c r="A22" s="124" t="s">
        <v>233</v>
      </c>
      <c r="B22" s="124" t="s">
        <v>233</v>
      </c>
      <c r="C22" s="125" t="s">
        <v>234</v>
      </c>
    </row>
    <row r="23" spans="1:7" ht="15.75" x14ac:dyDescent="0.25">
      <c r="A23" s="122" t="s">
        <v>235</v>
      </c>
      <c r="B23" s="122" t="s">
        <v>236</v>
      </c>
      <c r="C23" s="123" t="s">
        <v>237</v>
      </c>
    </row>
    <row r="24" spans="1:7" ht="15.75" x14ac:dyDescent="0.25">
      <c r="A24" s="122" t="s">
        <v>238</v>
      </c>
      <c r="B24" s="122" t="s">
        <v>239</v>
      </c>
      <c r="C24" s="123" t="s">
        <v>240</v>
      </c>
    </row>
  </sheetData>
  <mergeCells count="1">
    <mergeCell ref="A11:A19"/>
  </mergeCells>
  <pageMargins left="0.7" right="0.7" top="0.75" bottom="0.75" header="0.3" footer="0.3"/>
  <pageSetup paperSize="9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A3:I43"/>
  <sheetViews>
    <sheetView workbookViewId="0">
      <selection activeCell="D15" sqref="D15"/>
    </sheetView>
  </sheetViews>
  <sheetFormatPr baseColWidth="10" defaultRowHeight="15" x14ac:dyDescent="0.25"/>
  <cols>
    <col min="1" max="1" width="25.7109375" customWidth="1"/>
    <col min="2" max="2" width="30" customWidth="1"/>
    <col min="3" max="3" width="13.140625" customWidth="1"/>
    <col min="4" max="4" width="13.85546875" customWidth="1"/>
    <col min="5" max="5" width="13.85546875" style="162" customWidth="1"/>
  </cols>
  <sheetData>
    <row r="3" spans="1:9" ht="20.25" x14ac:dyDescent="0.3">
      <c r="A3" s="2"/>
      <c r="B3" s="4" t="s">
        <v>0</v>
      </c>
      <c r="C3" s="2"/>
    </row>
    <row r="4" spans="1:9" ht="15.75" x14ac:dyDescent="0.25">
      <c r="A4" s="2"/>
      <c r="B4" s="2"/>
      <c r="C4" s="2"/>
    </row>
    <row r="5" spans="1:9" ht="20.25" x14ac:dyDescent="0.3">
      <c r="A5" s="1"/>
      <c r="B5" s="4" t="s">
        <v>141</v>
      </c>
      <c r="C5" s="2"/>
    </row>
    <row r="6" spans="1:9" ht="20.25" x14ac:dyDescent="0.3">
      <c r="A6" s="4"/>
      <c r="B6" s="2"/>
      <c r="C6" s="2"/>
    </row>
    <row r="7" spans="1:9" ht="15.75" x14ac:dyDescent="0.25">
      <c r="A7" s="3" t="s">
        <v>1</v>
      </c>
      <c r="B7" s="3" t="s">
        <v>91</v>
      </c>
      <c r="C7" s="5"/>
    </row>
    <row r="8" spans="1:9" ht="15.75" x14ac:dyDescent="0.25">
      <c r="A8" s="3" t="s">
        <v>2</v>
      </c>
      <c r="B8" s="3" t="s">
        <v>3</v>
      </c>
      <c r="C8" s="5"/>
    </row>
    <row r="9" spans="1:9" ht="16.5" thickBot="1" x14ac:dyDescent="0.3">
      <c r="A9" s="3" t="s">
        <v>4</v>
      </c>
      <c r="B9" s="3" t="s">
        <v>142</v>
      </c>
      <c r="C9" s="5"/>
    </row>
    <row r="10" spans="1:9" ht="16.5" thickBot="1" x14ac:dyDescent="0.3">
      <c r="A10" s="3" t="s">
        <v>5</v>
      </c>
      <c r="B10" s="3" t="s">
        <v>119</v>
      </c>
      <c r="C10" s="5"/>
      <c r="F10" s="29" t="s">
        <v>156</v>
      </c>
      <c r="G10" s="28"/>
      <c r="H10" s="34"/>
      <c r="I10" s="1"/>
    </row>
    <row r="11" spans="1:9" ht="15.75" x14ac:dyDescent="0.25">
      <c r="A11" s="3" t="s">
        <v>6</v>
      </c>
      <c r="B11" s="3" t="s">
        <v>143</v>
      </c>
      <c r="C11" s="5"/>
      <c r="F11" s="12" t="s">
        <v>158</v>
      </c>
      <c r="G11" s="1">
        <v>110</v>
      </c>
      <c r="H11" s="12"/>
      <c r="I11" s="1"/>
    </row>
    <row r="12" spans="1:9" ht="16.5" thickBot="1" x14ac:dyDescent="0.3">
      <c r="A12" s="3" t="s">
        <v>8</v>
      </c>
      <c r="B12" s="3"/>
      <c r="C12" s="5"/>
      <c r="D12" s="44" t="s">
        <v>290</v>
      </c>
      <c r="E12" s="44"/>
      <c r="F12" s="12" t="s">
        <v>160</v>
      </c>
      <c r="G12" s="12">
        <f>G11*1000/6.6</f>
        <v>16666.666666666668</v>
      </c>
      <c r="H12" s="12"/>
      <c r="I12" s="1"/>
    </row>
    <row r="13" spans="1:9" ht="15.75" x14ac:dyDescent="0.25">
      <c r="A13" s="329" t="s">
        <v>9</v>
      </c>
      <c r="B13" s="11" t="s">
        <v>32</v>
      </c>
      <c r="C13" s="168">
        <v>6.5700000000000003E-3</v>
      </c>
      <c r="D13" s="44" t="s">
        <v>289</v>
      </c>
      <c r="E13" s="44"/>
      <c r="F13" s="30">
        <f>C13*G12</f>
        <v>109.50000000000001</v>
      </c>
      <c r="G13" s="32"/>
      <c r="H13" s="30"/>
      <c r="I13" s="1"/>
    </row>
    <row r="14" spans="1:9" ht="15.75" x14ac:dyDescent="0.25">
      <c r="A14" s="330"/>
      <c r="B14" s="6" t="s">
        <v>144</v>
      </c>
      <c r="C14" s="169">
        <v>3.0000000000000001E-5</v>
      </c>
      <c r="D14" s="44" t="s">
        <v>295</v>
      </c>
      <c r="E14" s="44"/>
      <c r="F14" s="30">
        <f>C14*G12</f>
        <v>0.5</v>
      </c>
      <c r="G14" s="32"/>
      <c r="H14" s="30"/>
      <c r="I14" s="1"/>
    </row>
    <row r="15" spans="1:9" ht="15.75" x14ac:dyDescent="0.25">
      <c r="A15" s="330"/>
      <c r="B15" s="6" t="s">
        <v>10</v>
      </c>
      <c r="C15" s="169">
        <v>1.091E-3</v>
      </c>
      <c r="D15" s="44" t="s">
        <v>291</v>
      </c>
      <c r="E15" s="44"/>
      <c r="F15" s="30">
        <f>C15*G12</f>
        <v>18.183333333333334</v>
      </c>
      <c r="G15" s="32"/>
      <c r="H15" s="30"/>
      <c r="I15" s="1"/>
    </row>
    <row r="16" spans="1:9" ht="15.75" x14ac:dyDescent="0.25">
      <c r="A16" s="330"/>
      <c r="B16" s="6" t="s">
        <v>11</v>
      </c>
      <c r="C16" s="169">
        <v>9.9400000000000009E-4</v>
      </c>
      <c r="D16" s="44" t="s">
        <v>294</v>
      </c>
      <c r="E16" s="44"/>
      <c r="F16" s="30">
        <f>C16*G12</f>
        <v>16.56666666666667</v>
      </c>
      <c r="G16" s="32"/>
      <c r="H16" s="30"/>
      <c r="I16" s="1"/>
    </row>
    <row r="17" spans="1:8" ht="15.75" x14ac:dyDescent="0.25">
      <c r="A17" s="330"/>
      <c r="B17" s="6" t="s">
        <v>12</v>
      </c>
      <c r="C17" s="169">
        <v>1</v>
      </c>
      <c r="D17" s="44" t="s">
        <v>293</v>
      </c>
      <c r="E17" s="44"/>
      <c r="F17" s="31">
        <f>C17*G12</f>
        <v>16666.666666666668</v>
      </c>
      <c r="G17" s="33"/>
      <c r="H17" s="31"/>
    </row>
    <row r="18" spans="1:8" ht="15.75" x14ac:dyDescent="0.25">
      <c r="A18" s="330"/>
      <c r="B18" s="6" t="s">
        <v>13</v>
      </c>
      <c r="C18" s="169">
        <v>1</v>
      </c>
      <c r="D18" s="44" t="s">
        <v>292</v>
      </c>
      <c r="E18" s="44"/>
      <c r="F18" s="31">
        <f>C18*G12</f>
        <v>16666.666666666668</v>
      </c>
      <c r="G18" s="33"/>
      <c r="H18" s="31"/>
    </row>
    <row r="19" spans="1:8" ht="15.75" x14ac:dyDescent="0.25">
      <c r="A19" s="330"/>
      <c r="B19" s="6" t="s">
        <v>145</v>
      </c>
      <c r="C19" s="169">
        <v>1</v>
      </c>
      <c r="D19" s="44" t="s">
        <v>296</v>
      </c>
      <c r="E19" s="44"/>
      <c r="F19" s="31">
        <f>C19*G12</f>
        <v>16666.666666666668</v>
      </c>
      <c r="G19" s="33"/>
      <c r="H19" s="31"/>
    </row>
    <row r="20" spans="1:8" ht="15.75" thickBot="1" x14ac:dyDescent="0.3">
      <c r="A20" s="331"/>
      <c r="B20" s="23" t="s">
        <v>15</v>
      </c>
      <c r="C20" s="170">
        <v>6.6667000000000002E-3</v>
      </c>
      <c r="D20" s="44" t="s">
        <v>281</v>
      </c>
      <c r="E20" s="44"/>
      <c r="F20" s="31">
        <f>C20*G12</f>
        <v>111.11166666666668</v>
      </c>
      <c r="G20" s="33"/>
      <c r="H20" s="31"/>
    </row>
    <row r="22" spans="1:8" ht="15.75" x14ac:dyDescent="0.25">
      <c r="A22" s="12" t="s">
        <v>16</v>
      </c>
      <c r="B22" s="22" t="s">
        <v>146</v>
      </c>
      <c r="C22" s="1"/>
    </row>
    <row r="23" spans="1:8" x14ac:dyDescent="0.25">
      <c r="A23" s="12" t="s">
        <v>17</v>
      </c>
      <c r="B23" s="12"/>
      <c r="C23" s="1"/>
    </row>
    <row r="24" spans="1:8" x14ac:dyDescent="0.25">
      <c r="A24" s="12" t="s">
        <v>18</v>
      </c>
      <c r="B24" s="12"/>
      <c r="C24" s="1"/>
    </row>
    <row r="25" spans="1:8" x14ac:dyDescent="0.25">
      <c r="A25" s="12" t="s">
        <v>19</v>
      </c>
      <c r="B25" s="12"/>
      <c r="C25" s="1"/>
    </row>
    <row r="26" spans="1:8" x14ac:dyDescent="0.25">
      <c r="A26" s="12" t="s">
        <v>20</v>
      </c>
      <c r="B26" s="12"/>
      <c r="C26" s="1"/>
    </row>
    <row r="27" spans="1:8" x14ac:dyDescent="0.25">
      <c r="A27" s="12" t="s">
        <v>21</v>
      </c>
      <c r="B27" s="12"/>
      <c r="C27" s="1"/>
    </row>
    <row r="28" spans="1:8" x14ac:dyDescent="0.25">
      <c r="A28" s="12" t="s">
        <v>22</v>
      </c>
      <c r="B28" s="12"/>
      <c r="C28" s="1"/>
    </row>
    <row r="29" spans="1:8" x14ac:dyDescent="0.25">
      <c r="A29" s="12" t="s">
        <v>23</v>
      </c>
      <c r="B29" s="12"/>
      <c r="C29" s="1"/>
    </row>
    <row r="30" spans="1:8" x14ac:dyDescent="0.25">
      <c r="A30" s="12" t="s">
        <v>24</v>
      </c>
      <c r="B30" s="12"/>
      <c r="C30" s="1"/>
    </row>
    <row r="31" spans="1:8" x14ac:dyDescent="0.25">
      <c r="A31" s="12" t="s">
        <v>25</v>
      </c>
      <c r="B31" s="12"/>
      <c r="C31" s="1"/>
    </row>
    <row r="32" spans="1:8" x14ac:dyDescent="0.25">
      <c r="A32" s="17" t="s">
        <v>26</v>
      </c>
      <c r="B32" s="12"/>
      <c r="C32" s="1"/>
    </row>
    <row r="33" spans="1:3" x14ac:dyDescent="0.25">
      <c r="A33" s="17" t="s">
        <v>27</v>
      </c>
      <c r="B33" s="12"/>
      <c r="C33" s="1"/>
    </row>
    <row r="35" spans="1:3" ht="15.75" x14ac:dyDescent="0.25">
      <c r="A35" s="124" t="s">
        <v>233</v>
      </c>
      <c r="B35" s="124" t="s">
        <v>233</v>
      </c>
      <c r="C35" s="125" t="s">
        <v>234</v>
      </c>
    </row>
    <row r="36" spans="1:3" ht="15.75" x14ac:dyDescent="0.25">
      <c r="A36" s="122" t="s">
        <v>235</v>
      </c>
      <c r="B36" s="122" t="s">
        <v>236</v>
      </c>
      <c r="C36" s="123" t="s">
        <v>237</v>
      </c>
    </row>
    <row r="37" spans="1:3" ht="15.75" x14ac:dyDescent="0.25">
      <c r="A37" s="122" t="s">
        <v>238</v>
      </c>
      <c r="B37" s="122" t="s">
        <v>239</v>
      </c>
      <c r="C37" s="123" t="s">
        <v>240</v>
      </c>
    </row>
    <row r="38" spans="1:3" x14ac:dyDescent="0.25">
      <c r="A38" s="121"/>
      <c r="B38" s="121"/>
      <c r="C38" s="121"/>
    </row>
    <row r="39" spans="1:3" x14ac:dyDescent="0.25">
      <c r="A39" s="121"/>
      <c r="B39" s="121"/>
      <c r="C39" s="121"/>
    </row>
    <row r="40" spans="1:3" x14ac:dyDescent="0.25">
      <c r="A40" s="121"/>
      <c r="B40" s="121"/>
      <c r="C40" s="121"/>
    </row>
    <row r="41" spans="1:3" x14ac:dyDescent="0.25">
      <c r="A41" s="121"/>
      <c r="B41" s="121"/>
      <c r="C41" s="121"/>
    </row>
    <row r="42" spans="1:3" x14ac:dyDescent="0.25">
      <c r="A42" s="121"/>
      <c r="B42" s="121"/>
      <c r="C42" s="121"/>
    </row>
    <row r="43" spans="1:3" x14ac:dyDescent="0.25">
      <c r="A43" s="121"/>
      <c r="B43" s="121"/>
      <c r="C43" s="121"/>
    </row>
  </sheetData>
  <mergeCells count="1">
    <mergeCell ref="A13:A20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A3:I31"/>
  <sheetViews>
    <sheetView workbookViewId="0">
      <selection activeCell="E15" sqref="E15"/>
    </sheetView>
  </sheetViews>
  <sheetFormatPr baseColWidth="10" defaultRowHeight="15" x14ac:dyDescent="0.25"/>
  <cols>
    <col min="1" max="1" width="23.28515625" bestFit="1" customWidth="1"/>
    <col min="2" max="2" width="29.140625" customWidth="1"/>
    <col min="3" max="3" width="12.140625" customWidth="1"/>
    <col min="4" max="4" width="8.42578125" customWidth="1"/>
    <col min="7" max="7" width="10.5703125" customWidth="1"/>
    <col min="8" max="8" width="12.28515625" customWidth="1"/>
  </cols>
  <sheetData>
    <row r="3" spans="1:9" ht="20.25" x14ac:dyDescent="0.3">
      <c r="A3" s="2" t="s">
        <v>431</v>
      </c>
      <c r="C3" s="4" t="s">
        <v>0</v>
      </c>
    </row>
    <row r="4" spans="1:9" ht="15.75" x14ac:dyDescent="0.25">
      <c r="A4" s="2"/>
      <c r="B4" s="2"/>
      <c r="C4" s="2"/>
    </row>
    <row r="5" spans="1:9" ht="20.25" x14ac:dyDescent="0.3">
      <c r="A5" s="1"/>
      <c r="C5" s="4" t="s">
        <v>147</v>
      </c>
    </row>
    <row r="6" spans="1:9" ht="20.25" x14ac:dyDescent="0.3">
      <c r="A6" s="4"/>
      <c r="B6" s="2"/>
      <c r="C6" s="2"/>
    </row>
    <row r="7" spans="1:9" ht="15.75" x14ac:dyDescent="0.25">
      <c r="A7" s="3" t="s">
        <v>1</v>
      </c>
      <c r="B7" s="3" t="s">
        <v>100</v>
      </c>
      <c r="C7" s="5"/>
    </row>
    <row r="8" spans="1:9" ht="15.75" x14ac:dyDescent="0.25">
      <c r="A8" s="3" t="s">
        <v>2</v>
      </c>
      <c r="B8" s="3" t="s">
        <v>3</v>
      </c>
      <c r="C8" s="5"/>
      <c r="D8" s="1"/>
      <c r="H8" s="1"/>
      <c r="I8" s="1"/>
    </row>
    <row r="9" spans="1:9" ht="16.5" thickBot="1" x14ac:dyDescent="0.3">
      <c r="A9" s="3" t="s">
        <v>4</v>
      </c>
      <c r="B9" s="3" t="s">
        <v>142</v>
      </c>
      <c r="C9" s="5"/>
      <c r="D9" s="1"/>
      <c r="H9" s="1"/>
      <c r="I9" s="1"/>
    </row>
    <row r="10" spans="1:9" ht="16.5" thickBot="1" x14ac:dyDescent="0.3">
      <c r="A10" s="3" t="s">
        <v>5</v>
      </c>
      <c r="B10" s="3" t="s">
        <v>119</v>
      </c>
      <c r="C10" s="5"/>
      <c r="D10" s="1"/>
      <c r="E10" s="29" t="s">
        <v>156</v>
      </c>
      <c r="F10" s="28"/>
      <c r="G10" s="34" t="s">
        <v>157</v>
      </c>
      <c r="H10" s="1">
        <v>200</v>
      </c>
      <c r="I10" s="50" t="s">
        <v>174</v>
      </c>
    </row>
    <row r="11" spans="1:9" ht="15.75" x14ac:dyDescent="0.25">
      <c r="A11" s="3" t="s">
        <v>6</v>
      </c>
      <c r="B11" s="3" t="s">
        <v>143</v>
      </c>
      <c r="C11" s="5"/>
      <c r="E11" s="12" t="s">
        <v>158</v>
      </c>
      <c r="F11" s="1">
        <v>200</v>
      </c>
      <c r="G11" s="12" t="s">
        <v>158</v>
      </c>
      <c r="H11" s="1"/>
      <c r="I11" s="1"/>
    </row>
    <row r="12" spans="1:9" ht="16.5" thickBot="1" x14ac:dyDescent="0.3">
      <c r="A12" s="3" t="s">
        <v>8</v>
      </c>
      <c r="B12" s="3"/>
      <c r="C12" s="5"/>
      <c r="E12" s="12" t="s">
        <v>160</v>
      </c>
      <c r="F12" s="1">
        <v>16666.666666666668</v>
      </c>
      <c r="G12" s="12">
        <v>16666.666666666668</v>
      </c>
      <c r="H12" s="1"/>
      <c r="I12" s="1"/>
    </row>
    <row r="13" spans="1:9" ht="15.75" x14ac:dyDescent="0.25">
      <c r="A13" s="329" t="s">
        <v>9</v>
      </c>
      <c r="B13" s="11" t="s">
        <v>32</v>
      </c>
      <c r="C13" s="7">
        <v>1.1939999999999999E-2</v>
      </c>
      <c r="D13" s="1" t="s">
        <v>159</v>
      </c>
      <c r="E13" s="30">
        <f>C13*$F$12</f>
        <v>199</v>
      </c>
      <c r="F13" s="32"/>
      <c r="G13" s="30">
        <f>C13*$G$12</f>
        <v>199</v>
      </c>
      <c r="H13" s="1"/>
      <c r="I13" s="1"/>
    </row>
    <row r="14" spans="1:9" ht="15.75" x14ac:dyDescent="0.25">
      <c r="A14" s="330"/>
      <c r="B14" s="6" t="s">
        <v>144</v>
      </c>
      <c r="C14" s="8">
        <v>6.0000000000000002E-5</v>
      </c>
      <c r="D14" s="1" t="s">
        <v>159</v>
      </c>
      <c r="E14" s="30">
        <f t="shared" ref="E14:E19" si="0">C14*$F$12</f>
        <v>1</v>
      </c>
      <c r="F14" s="32"/>
      <c r="G14" s="30">
        <f t="shared" ref="G14:G20" si="1">C14*$G$12</f>
        <v>1</v>
      </c>
      <c r="H14" s="1"/>
      <c r="I14" s="1"/>
    </row>
    <row r="15" spans="1:9" ht="15.75" x14ac:dyDescent="0.25">
      <c r="A15" s="330"/>
      <c r="B15" s="6" t="s">
        <v>10</v>
      </c>
      <c r="C15" s="8">
        <v>1.091E-3</v>
      </c>
      <c r="D15" s="1" t="s">
        <v>159</v>
      </c>
      <c r="E15" s="30">
        <f t="shared" si="0"/>
        <v>18.183333333333334</v>
      </c>
      <c r="F15" s="32"/>
      <c r="G15" s="30">
        <f t="shared" si="1"/>
        <v>18.183333333333334</v>
      </c>
      <c r="H15" s="1"/>
      <c r="I15" s="1"/>
    </row>
    <row r="16" spans="1:9" ht="15.75" x14ac:dyDescent="0.25">
      <c r="A16" s="330"/>
      <c r="B16" s="6" t="s">
        <v>11</v>
      </c>
      <c r="C16" s="8">
        <v>9.9400000000000009E-4</v>
      </c>
      <c r="D16" s="1" t="s">
        <v>159</v>
      </c>
      <c r="E16" s="30">
        <f t="shared" si="0"/>
        <v>16.56666666666667</v>
      </c>
      <c r="F16" s="32"/>
      <c r="G16" s="30">
        <f t="shared" si="1"/>
        <v>16.56666666666667</v>
      </c>
      <c r="H16" s="1"/>
      <c r="I16" s="1"/>
    </row>
    <row r="17" spans="1:7" ht="15.75" x14ac:dyDescent="0.25">
      <c r="A17" s="330"/>
      <c r="B17" s="6" t="s">
        <v>12</v>
      </c>
      <c r="C17" s="8">
        <v>1</v>
      </c>
      <c r="D17" s="1" t="s">
        <v>161</v>
      </c>
      <c r="E17" s="30">
        <f t="shared" si="0"/>
        <v>16666.666666666668</v>
      </c>
      <c r="F17" s="33"/>
      <c r="G17" s="30">
        <f t="shared" si="1"/>
        <v>16666.666666666668</v>
      </c>
    </row>
    <row r="18" spans="1:7" ht="15.75" x14ac:dyDescent="0.25">
      <c r="A18" s="330"/>
      <c r="B18" s="6" t="s">
        <v>13</v>
      </c>
      <c r="C18" s="8">
        <v>1</v>
      </c>
      <c r="D18" s="1" t="s">
        <v>161</v>
      </c>
      <c r="E18" s="30">
        <f t="shared" si="0"/>
        <v>16666.666666666668</v>
      </c>
      <c r="F18" s="33"/>
      <c r="G18" s="30">
        <f t="shared" si="1"/>
        <v>16666.666666666668</v>
      </c>
    </row>
    <row r="19" spans="1:7" ht="15.75" x14ac:dyDescent="0.25">
      <c r="A19" s="330"/>
      <c r="B19" s="6" t="s">
        <v>145</v>
      </c>
      <c r="C19" s="8">
        <v>1</v>
      </c>
      <c r="D19" s="1" t="s">
        <v>161</v>
      </c>
      <c r="E19" s="30">
        <f t="shared" si="0"/>
        <v>16666.666666666668</v>
      </c>
      <c r="F19" s="33"/>
      <c r="G19" s="30">
        <f t="shared" si="1"/>
        <v>16666.666666666668</v>
      </c>
    </row>
    <row r="20" spans="1:7" ht="15.75" thickBot="1" x14ac:dyDescent="0.3">
      <c r="A20" s="331"/>
      <c r="B20" s="23" t="s">
        <v>494</v>
      </c>
      <c r="C20" s="24">
        <v>6.7200000000000003E-3</v>
      </c>
      <c r="D20" s="1" t="s">
        <v>161</v>
      </c>
      <c r="E20" s="30">
        <f>C20*F12</f>
        <v>112.00000000000001</v>
      </c>
      <c r="F20" s="33"/>
      <c r="G20" s="30">
        <f t="shared" si="1"/>
        <v>112.00000000000001</v>
      </c>
    </row>
    <row r="23" spans="1:7" ht="15.75" x14ac:dyDescent="0.25">
      <c r="A23" s="124" t="s">
        <v>233</v>
      </c>
      <c r="B23" s="124" t="s">
        <v>233</v>
      </c>
      <c r="C23" s="125" t="s">
        <v>234</v>
      </c>
    </row>
    <row r="24" spans="1:7" ht="15.75" x14ac:dyDescent="0.25">
      <c r="A24" s="122" t="s">
        <v>235</v>
      </c>
      <c r="B24" s="122" t="s">
        <v>236</v>
      </c>
      <c r="C24" s="123" t="s">
        <v>237</v>
      </c>
    </row>
    <row r="25" spans="1:7" ht="15.75" x14ac:dyDescent="0.25">
      <c r="A25" s="122" t="s">
        <v>238</v>
      </c>
      <c r="B25" s="122" t="s">
        <v>239</v>
      </c>
      <c r="C25" s="123" t="s">
        <v>240</v>
      </c>
    </row>
    <row r="26" spans="1:7" x14ac:dyDescent="0.25">
      <c r="A26" s="121"/>
      <c r="B26" s="121"/>
      <c r="C26" s="121"/>
    </row>
    <row r="27" spans="1:7" x14ac:dyDescent="0.25">
      <c r="A27" s="121"/>
      <c r="B27" s="121"/>
    </row>
    <row r="28" spans="1:7" x14ac:dyDescent="0.25">
      <c r="A28" s="121"/>
      <c r="B28" s="121"/>
    </row>
    <row r="29" spans="1:7" x14ac:dyDescent="0.25">
      <c r="A29" s="121"/>
      <c r="B29" s="121"/>
    </row>
    <row r="30" spans="1:7" x14ac:dyDescent="0.25">
      <c r="A30" s="121"/>
      <c r="B30" s="121"/>
    </row>
    <row r="31" spans="1:7" x14ac:dyDescent="0.25">
      <c r="A31" s="121"/>
      <c r="B31" s="121"/>
    </row>
  </sheetData>
  <mergeCells count="1">
    <mergeCell ref="A13:A20"/>
  </mergeCells>
  <pageMargins left="0.7" right="0.7" top="0.75" bottom="0.75" header="0.3" footer="0.3"/>
  <pageSetup paperSize="9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A3:G43"/>
  <sheetViews>
    <sheetView topLeftCell="A4" workbookViewId="0">
      <selection activeCell="E24" sqref="E24"/>
    </sheetView>
  </sheetViews>
  <sheetFormatPr baseColWidth="10" defaultRowHeight="15" x14ac:dyDescent="0.25"/>
  <cols>
    <col min="1" max="1" width="25.85546875" customWidth="1"/>
    <col min="2" max="2" width="31.28515625" customWidth="1"/>
    <col min="3" max="3" width="14" customWidth="1"/>
  </cols>
  <sheetData>
    <row r="3" spans="1:7" ht="20.25" x14ac:dyDescent="0.3">
      <c r="A3" s="2"/>
      <c r="B3" s="4" t="s">
        <v>0</v>
      </c>
      <c r="C3" s="2"/>
    </row>
    <row r="4" spans="1:7" ht="15.75" x14ac:dyDescent="0.25">
      <c r="A4" s="2"/>
      <c r="B4" s="2"/>
      <c r="C4" s="2"/>
    </row>
    <row r="5" spans="1:7" ht="20.25" x14ac:dyDescent="0.3">
      <c r="A5" s="1"/>
      <c r="B5" s="4" t="s">
        <v>149</v>
      </c>
      <c r="C5" s="2"/>
    </row>
    <row r="6" spans="1:7" ht="20.25" x14ac:dyDescent="0.3">
      <c r="A6" s="4"/>
      <c r="B6" s="2"/>
      <c r="C6" s="2"/>
    </row>
    <row r="7" spans="1:7" ht="15.75" x14ac:dyDescent="0.25">
      <c r="A7" s="3" t="s">
        <v>1</v>
      </c>
      <c r="B7" s="3" t="s">
        <v>150</v>
      </c>
      <c r="C7" s="5"/>
    </row>
    <row r="8" spans="1:7" ht="15.75" x14ac:dyDescent="0.25">
      <c r="A8" s="3" t="s">
        <v>2</v>
      </c>
      <c r="B8" s="3" t="s">
        <v>3</v>
      </c>
      <c r="C8" s="5"/>
    </row>
    <row r="9" spans="1:7" ht="16.5" thickBot="1" x14ac:dyDescent="0.3">
      <c r="A9" s="3" t="s">
        <v>4</v>
      </c>
      <c r="B9" s="3" t="s">
        <v>142</v>
      </c>
      <c r="C9" s="5"/>
    </row>
    <row r="10" spans="1:7" ht="16.5" thickBot="1" x14ac:dyDescent="0.3">
      <c r="A10" s="3" t="s">
        <v>5</v>
      </c>
      <c r="B10" s="3" t="s">
        <v>119</v>
      </c>
      <c r="C10" s="5"/>
      <c r="E10" s="29" t="s">
        <v>156</v>
      </c>
      <c r="F10" s="28"/>
      <c r="G10" s="34"/>
    </row>
    <row r="11" spans="1:7" ht="15.75" x14ac:dyDescent="0.25">
      <c r="A11" s="3" t="s">
        <v>6</v>
      </c>
      <c r="B11" s="3" t="s">
        <v>7</v>
      </c>
      <c r="C11" s="5"/>
      <c r="E11" s="12" t="s">
        <v>158</v>
      </c>
      <c r="F11" s="1">
        <v>110</v>
      </c>
      <c r="G11" s="12"/>
    </row>
    <row r="12" spans="1:7" ht="16.5" thickBot="1" x14ac:dyDescent="0.3">
      <c r="A12" s="3" t="s">
        <v>8</v>
      </c>
      <c r="B12" s="3"/>
      <c r="C12" s="5"/>
      <c r="E12" s="12" t="s">
        <v>160</v>
      </c>
      <c r="F12" s="1">
        <v>16666.666666666668</v>
      </c>
      <c r="G12" s="12"/>
    </row>
    <row r="13" spans="1:7" ht="15.75" x14ac:dyDescent="0.25">
      <c r="A13" s="329" t="s">
        <v>9</v>
      </c>
      <c r="B13" s="11" t="s">
        <v>151</v>
      </c>
      <c r="C13" s="7">
        <v>5.8500000000000002E-3</v>
      </c>
      <c r="D13" t="s">
        <v>174</v>
      </c>
      <c r="E13" s="30">
        <f>C13*F12</f>
        <v>97.500000000000014</v>
      </c>
      <c r="F13" s="32"/>
      <c r="G13" s="30"/>
    </row>
    <row r="14" spans="1:7" ht="15.75" x14ac:dyDescent="0.25">
      <c r="A14" s="330"/>
      <c r="B14" s="6" t="s">
        <v>152</v>
      </c>
      <c r="C14" s="8">
        <v>7.5000000000000002E-4</v>
      </c>
      <c r="D14" t="s">
        <v>174</v>
      </c>
      <c r="E14" s="30">
        <f>C14*F12</f>
        <v>12.500000000000002</v>
      </c>
      <c r="F14" s="32"/>
      <c r="G14" s="30"/>
    </row>
    <row r="15" spans="1:7" ht="15.75" x14ac:dyDescent="0.25">
      <c r="A15" s="330"/>
      <c r="B15" s="6" t="s">
        <v>10</v>
      </c>
      <c r="C15" s="8">
        <v>1.091E-3</v>
      </c>
      <c r="D15" t="s">
        <v>174</v>
      </c>
      <c r="E15" s="30">
        <f>C15*F12</f>
        <v>18.183333333333334</v>
      </c>
      <c r="F15" s="32"/>
      <c r="G15" s="30"/>
    </row>
    <row r="16" spans="1:7" ht="15.75" x14ac:dyDescent="0.25">
      <c r="A16" s="330"/>
      <c r="B16" s="6" t="s">
        <v>11</v>
      </c>
      <c r="C16" s="8">
        <v>9.9400000000000009E-4</v>
      </c>
      <c r="D16" t="s">
        <v>174</v>
      </c>
      <c r="E16" s="30">
        <f>C16*F12</f>
        <v>16.56666666666667</v>
      </c>
      <c r="F16" s="32"/>
      <c r="G16" s="30"/>
    </row>
    <row r="17" spans="1:7" ht="15.75" x14ac:dyDescent="0.25">
      <c r="A17" s="330"/>
      <c r="B17" s="6" t="s">
        <v>12</v>
      </c>
      <c r="C17" s="8">
        <v>1</v>
      </c>
      <c r="D17" t="s">
        <v>161</v>
      </c>
      <c r="E17" s="31">
        <f>C17*F12</f>
        <v>16666.666666666668</v>
      </c>
      <c r="F17" s="33"/>
      <c r="G17" s="31"/>
    </row>
    <row r="18" spans="1:7" ht="15.75" x14ac:dyDescent="0.25">
      <c r="A18" s="330"/>
      <c r="B18" s="6" t="s">
        <v>13</v>
      </c>
      <c r="C18" s="8">
        <v>1</v>
      </c>
      <c r="D18" t="s">
        <v>161</v>
      </c>
      <c r="E18" s="31">
        <f>C18*F12</f>
        <v>16666.666666666668</v>
      </c>
      <c r="F18" s="33"/>
      <c r="G18" s="31"/>
    </row>
    <row r="19" spans="1:7" ht="15.75" x14ac:dyDescent="0.25">
      <c r="A19" s="330"/>
      <c r="B19" s="6" t="s">
        <v>14</v>
      </c>
      <c r="C19" s="8">
        <v>1</v>
      </c>
      <c r="D19" t="s">
        <v>161</v>
      </c>
      <c r="E19" s="31">
        <f>C19*F12</f>
        <v>16666.666666666668</v>
      </c>
      <c r="F19" s="33"/>
      <c r="G19" s="31"/>
    </row>
    <row r="20" spans="1:7" ht="15.75" thickBot="1" x14ac:dyDescent="0.3">
      <c r="A20" s="331"/>
      <c r="B20" s="23" t="s">
        <v>15</v>
      </c>
      <c r="C20" s="24">
        <v>6.6667000000000002E-3</v>
      </c>
      <c r="D20" t="s">
        <v>161</v>
      </c>
      <c r="E20" s="31">
        <f>C20*F12</f>
        <v>111.11166666666668</v>
      </c>
      <c r="F20" s="33"/>
      <c r="G20" s="31"/>
    </row>
    <row r="22" spans="1:7" ht="15.75" x14ac:dyDescent="0.25">
      <c r="A22" s="12" t="s">
        <v>16</v>
      </c>
      <c r="B22" s="22" t="s">
        <v>146</v>
      </c>
      <c r="C22" s="1"/>
    </row>
    <row r="23" spans="1:7" x14ac:dyDescent="0.25">
      <c r="A23" s="12" t="s">
        <v>17</v>
      </c>
      <c r="B23" s="12"/>
      <c r="C23" s="1"/>
    </row>
    <row r="24" spans="1:7" x14ac:dyDescent="0.25">
      <c r="A24" s="12" t="s">
        <v>18</v>
      </c>
      <c r="B24" s="12"/>
      <c r="C24" s="1"/>
    </row>
    <row r="25" spans="1:7" x14ac:dyDescent="0.25">
      <c r="A25" s="12" t="s">
        <v>19</v>
      </c>
      <c r="B25" s="12"/>
      <c r="C25" s="1"/>
    </row>
    <row r="26" spans="1:7" x14ac:dyDescent="0.25">
      <c r="A26" s="12" t="s">
        <v>20</v>
      </c>
      <c r="B26" s="12"/>
      <c r="C26" s="1"/>
    </row>
    <row r="27" spans="1:7" x14ac:dyDescent="0.25">
      <c r="A27" s="12" t="s">
        <v>21</v>
      </c>
      <c r="B27" s="12"/>
      <c r="C27" s="1"/>
    </row>
    <row r="28" spans="1:7" x14ac:dyDescent="0.25">
      <c r="A28" s="12" t="s">
        <v>22</v>
      </c>
      <c r="B28" s="12"/>
      <c r="C28" s="1"/>
    </row>
    <row r="29" spans="1:7" x14ac:dyDescent="0.25">
      <c r="A29" s="12" t="s">
        <v>23</v>
      </c>
      <c r="B29" s="12"/>
      <c r="C29" s="1"/>
    </row>
    <row r="30" spans="1:7" x14ac:dyDescent="0.25">
      <c r="A30" s="12" t="s">
        <v>24</v>
      </c>
      <c r="B30" s="12"/>
      <c r="C30" s="1"/>
    </row>
    <row r="31" spans="1:7" x14ac:dyDescent="0.25">
      <c r="A31" s="12" t="s">
        <v>25</v>
      </c>
      <c r="B31" s="12"/>
      <c r="C31" s="1"/>
    </row>
    <row r="32" spans="1:7" x14ac:dyDescent="0.25">
      <c r="A32" s="17" t="s">
        <v>26</v>
      </c>
      <c r="B32" s="12"/>
      <c r="C32" s="1"/>
    </row>
    <row r="33" spans="1:3" x14ac:dyDescent="0.25">
      <c r="A33" s="17" t="s">
        <v>27</v>
      </c>
      <c r="B33" s="12"/>
      <c r="C33" s="1"/>
    </row>
    <row r="36" spans="1:3" ht="15.75" x14ac:dyDescent="0.25">
      <c r="A36" s="124" t="s">
        <v>233</v>
      </c>
      <c r="B36" s="124" t="s">
        <v>233</v>
      </c>
      <c r="C36" s="125" t="s">
        <v>234</v>
      </c>
    </row>
    <row r="37" spans="1:3" ht="15.75" x14ac:dyDescent="0.25">
      <c r="A37" s="122" t="s">
        <v>235</v>
      </c>
      <c r="B37" s="122" t="s">
        <v>236</v>
      </c>
      <c r="C37" s="123" t="s">
        <v>237</v>
      </c>
    </row>
    <row r="38" spans="1:3" ht="15.75" x14ac:dyDescent="0.25">
      <c r="A38" s="122" t="s">
        <v>238</v>
      </c>
      <c r="B38" s="122" t="s">
        <v>239</v>
      </c>
      <c r="C38" s="123" t="s">
        <v>240</v>
      </c>
    </row>
    <row r="39" spans="1:3" x14ac:dyDescent="0.25">
      <c r="A39" s="121"/>
      <c r="B39" s="121"/>
    </row>
    <row r="40" spans="1:3" x14ac:dyDescent="0.25">
      <c r="A40" s="121"/>
      <c r="B40" s="121"/>
    </row>
    <row r="41" spans="1:3" x14ac:dyDescent="0.25">
      <c r="A41" s="121"/>
      <c r="B41" s="121"/>
    </row>
    <row r="42" spans="1:3" x14ac:dyDescent="0.25">
      <c r="A42" s="121"/>
      <c r="B42" s="121"/>
    </row>
    <row r="43" spans="1:3" x14ac:dyDescent="0.25">
      <c r="A43" s="121"/>
      <c r="B43" s="121"/>
    </row>
  </sheetData>
  <mergeCells count="1">
    <mergeCell ref="A13:A20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3:F33"/>
  <sheetViews>
    <sheetView workbookViewId="0">
      <selection activeCell="A24" sqref="A24"/>
    </sheetView>
  </sheetViews>
  <sheetFormatPr baseColWidth="10" defaultRowHeight="16.5" x14ac:dyDescent="0.3"/>
  <cols>
    <col min="1" max="1" width="25.85546875" style="267" customWidth="1"/>
    <col min="2" max="2" width="31.28515625" style="267" customWidth="1"/>
    <col min="3" max="3" width="14" style="267" customWidth="1"/>
    <col min="4" max="4" width="11.42578125" style="267"/>
    <col min="5" max="6" width="11.42578125" style="310"/>
    <col min="7" max="16384" width="11.42578125" style="267"/>
  </cols>
  <sheetData>
    <row r="3" spans="1:6" ht="20.25" x14ac:dyDescent="0.3">
      <c r="A3" s="287"/>
      <c r="B3" s="288" t="s">
        <v>0</v>
      </c>
      <c r="C3" s="287"/>
    </row>
    <row r="4" spans="1:6" ht="17.25" x14ac:dyDescent="0.3">
      <c r="A4" s="287"/>
      <c r="B4" s="287"/>
      <c r="C4" s="287"/>
    </row>
    <row r="5" spans="1:6" ht="20.25" x14ac:dyDescent="0.3">
      <c r="A5" s="289"/>
      <c r="B5" s="288" t="s">
        <v>463</v>
      </c>
      <c r="C5" s="287"/>
    </row>
    <row r="6" spans="1:6" ht="20.25" x14ac:dyDescent="0.3">
      <c r="A6" s="288"/>
      <c r="B6" s="287"/>
      <c r="C6" s="287"/>
    </row>
    <row r="7" spans="1:6" ht="17.25" x14ac:dyDescent="0.3">
      <c r="A7" s="290" t="s">
        <v>464</v>
      </c>
      <c r="B7" s="290" t="s">
        <v>169</v>
      </c>
      <c r="C7" s="291"/>
    </row>
    <row r="8" spans="1:6" ht="17.25" x14ac:dyDescent="0.3">
      <c r="A8" s="290" t="s">
        <v>2</v>
      </c>
      <c r="B8" s="290" t="s">
        <v>465</v>
      </c>
      <c r="C8" s="291"/>
    </row>
    <row r="9" spans="1:6" ht="17.25" x14ac:dyDescent="0.3">
      <c r="A9" s="290" t="s">
        <v>4</v>
      </c>
      <c r="B9" s="290" t="s">
        <v>466</v>
      </c>
      <c r="C9" s="291"/>
    </row>
    <row r="10" spans="1:6" ht="17.25" x14ac:dyDescent="0.3">
      <c r="A10" s="290" t="s">
        <v>5</v>
      </c>
      <c r="B10" s="290" t="s">
        <v>467</v>
      </c>
      <c r="C10" s="291"/>
      <c r="E10" s="311"/>
      <c r="F10" s="311"/>
    </row>
    <row r="11" spans="1:6" ht="17.25" x14ac:dyDescent="0.3">
      <c r="A11" s="290" t="s">
        <v>6</v>
      </c>
      <c r="B11" s="290" t="s">
        <v>491</v>
      </c>
      <c r="C11" s="291"/>
      <c r="E11" s="312" t="s">
        <v>158</v>
      </c>
      <c r="F11" s="312">
        <v>204</v>
      </c>
    </row>
    <row r="12" spans="1:6" ht="18" thickBot="1" x14ac:dyDescent="0.35">
      <c r="A12" s="290" t="s">
        <v>8</v>
      </c>
      <c r="B12" s="290"/>
      <c r="C12" s="291"/>
      <c r="E12" s="312" t="s">
        <v>160</v>
      </c>
      <c r="F12" s="312">
        <f>F11/0.0068</f>
        <v>30000</v>
      </c>
    </row>
    <row r="13" spans="1:6" ht="17.25" x14ac:dyDescent="0.3">
      <c r="A13" s="363" t="s">
        <v>9</v>
      </c>
      <c r="B13" s="304" t="s">
        <v>468</v>
      </c>
      <c r="C13" s="305">
        <v>1.6000000000000001E-3</v>
      </c>
      <c r="D13" s="267" t="s">
        <v>174</v>
      </c>
      <c r="E13" s="313">
        <f>C13*F12</f>
        <v>48</v>
      </c>
      <c r="F13" s="311"/>
    </row>
    <row r="14" spans="1:6" ht="17.25" x14ac:dyDescent="0.3">
      <c r="A14" s="363"/>
      <c r="B14" s="306" t="s">
        <v>152</v>
      </c>
      <c r="C14" s="307">
        <v>5.0000000000000001E-3</v>
      </c>
      <c r="D14" s="267" t="s">
        <v>174</v>
      </c>
      <c r="E14" s="312">
        <f>C14*F12</f>
        <v>150</v>
      </c>
      <c r="F14" s="311"/>
    </row>
    <row r="15" spans="1:6" ht="17.25" x14ac:dyDescent="0.3">
      <c r="A15" s="363"/>
      <c r="B15" s="306" t="s">
        <v>44</v>
      </c>
      <c r="C15" s="307">
        <v>2.0000000000000001E-4</v>
      </c>
      <c r="D15" s="267" t="s">
        <v>174</v>
      </c>
      <c r="E15" s="312">
        <f>C15*F12</f>
        <v>6</v>
      </c>
      <c r="F15" s="311"/>
    </row>
    <row r="16" spans="1:6" ht="17.25" x14ac:dyDescent="0.3">
      <c r="A16" s="363"/>
      <c r="B16" s="306" t="s">
        <v>458</v>
      </c>
      <c r="C16" s="307">
        <v>20</v>
      </c>
      <c r="D16" s="308" t="s">
        <v>469</v>
      </c>
      <c r="E16" s="314">
        <f>C16*F12</f>
        <v>600000</v>
      </c>
      <c r="F16" s="311"/>
    </row>
    <row r="17" spans="1:6" ht="17.25" x14ac:dyDescent="0.3">
      <c r="A17" s="363"/>
      <c r="B17" s="306" t="s">
        <v>248</v>
      </c>
      <c r="C17" s="307">
        <v>3.8119999999999999E-3</v>
      </c>
      <c r="D17" s="267" t="s">
        <v>174</v>
      </c>
      <c r="E17" s="312">
        <f>C17*F12</f>
        <v>114.36</v>
      </c>
      <c r="F17" s="311"/>
    </row>
    <row r="18" spans="1:6" ht="17.25" x14ac:dyDescent="0.3">
      <c r="A18" s="363"/>
      <c r="B18" s="306" t="s">
        <v>48</v>
      </c>
      <c r="C18" s="307">
        <v>9.5600000000000004E-4</v>
      </c>
      <c r="D18" s="267" t="s">
        <v>229</v>
      </c>
      <c r="E18" s="312">
        <f>C18*F12</f>
        <v>28.68</v>
      </c>
      <c r="F18" s="311"/>
    </row>
    <row r="19" spans="1:6" ht="17.25" x14ac:dyDescent="0.3">
      <c r="A19" s="363"/>
      <c r="B19" s="306" t="s">
        <v>12</v>
      </c>
      <c r="C19" s="307">
        <v>1</v>
      </c>
      <c r="D19" s="267" t="s">
        <v>161</v>
      </c>
      <c r="E19" s="314">
        <f>C19*F12</f>
        <v>30000</v>
      </c>
      <c r="F19" s="311"/>
    </row>
    <row r="20" spans="1:6" ht="17.25" x14ac:dyDescent="0.3">
      <c r="A20" s="363"/>
      <c r="B20" s="306" t="s">
        <v>13</v>
      </c>
      <c r="C20" s="307">
        <v>1</v>
      </c>
      <c r="D20" s="267" t="s">
        <v>161</v>
      </c>
      <c r="E20" s="314">
        <f>C20*F12</f>
        <v>30000</v>
      </c>
      <c r="F20" s="311"/>
    </row>
    <row r="21" spans="1:6" ht="17.25" x14ac:dyDescent="0.3">
      <c r="A21" s="363"/>
      <c r="B21" s="306" t="s">
        <v>14</v>
      </c>
      <c r="C21" s="307">
        <v>1</v>
      </c>
      <c r="D21" s="267" t="s">
        <v>161</v>
      </c>
      <c r="E21" s="314">
        <f>C21*F12</f>
        <v>30000</v>
      </c>
      <c r="F21" s="311"/>
    </row>
    <row r="22" spans="1:6" ht="17.25" thickBot="1" x14ac:dyDescent="0.35">
      <c r="A22" s="364"/>
      <c r="B22" s="309" t="s">
        <v>49</v>
      </c>
      <c r="C22" s="300">
        <v>5.0000000000000001E-3</v>
      </c>
      <c r="D22" s="267" t="s">
        <v>161</v>
      </c>
      <c r="E22" s="314">
        <f>C22*F12</f>
        <v>150</v>
      </c>
      <c r="F22" s="311"/>
    </row>
    <row r="26" spans="1:6" x14ac:dyDescent="0.3">
      <c r="A26" s="283" t="s">
        <v>233</v>
      </c>
      <c r="B26" s="283" t="s">
        <v>233</v>
      </c>
      <c r="C26" s="284" t="s">
        <v>234</v>
      </c>
    </row>
    <row r="27" spans="1:6" ht="17.25" x14ac:dyDescent="0.3">
      <c r="A27" s="285" t="s">
        <v>235</v>
      </c>
      <c r="B27" s="285" t="s">
        <v>236</v>
      </c>
      <c r="C27" s="267" t="s">
        <v>237</v>
      </c>
    </row>
    <row r="28" spans="1:6" ht="17.25" x14ac:dyDescent="0.3">
      <c r="A28" s="285" t="s">
        <v>238</v>
      </c>
      <c r="B28" s="285" t="s">
        <v>239</v>
      </c>
      <c r="C28" s="267" t="s">
        <v>240</v>
      </c>
    </row>
    <row r="29" spans="1:6" x14ac:dyDescent="0.3">
      <c r="A29" s="286"/>
      <c r="B29" s="286"/>
    </row>
    <row r="30" spans="1:6" x14ac:dyDescent="0.3">
      <c r="A30" s="286"/>
      <c r="B30" s="286"/>
    </row>
    <row r="31" spans="1:6" x14ac:dyDescent="0.3">
      <c r="A31" s="286"/>
      <c r="B31" s="286"/>
    </row>
    <row r="32" spans="1:6" x14ac:dyDescent="0.3">
      <c r="A32" s="286"/>
      <c r="B32" s="286"/>
    </row>
    <row r="33" spans="1:2" x14ac:dyDescent="0.3">
      <c r="A33" s="286"/>
      <c r="B33" s="286"/>
    </row>
  </sheetData>
  <mergeCells count="1">
    <mergeCell ref="A13:A22"/>
  </mergeCells>
  <pageMargins left="0.7" right="0.7" top="0.75" bottom="0.75" header="0.3" footer="0.3"/>
  <pageSetup paperSize="9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/>
  <dimension ref="A2:I30"/>
  <sheetViews>
    <sheetView topLeftCell="A4" workbookViewId="0">
      <selection activeCell="G30" sqref="G30"/>
    </sheetView>
  </sheetViews>
  <sheetFormatPr baseColWidth="10" defaultRowHeight="15" x14ac:dyDescent="0.25"/>
  <cols>
    <col min="1" max="1" width="24.28515625" customWidth="1"/>
    <col min="2" max="2" width="28.5703125" customWidth="1"/>
  </cols>
  <sheetData>
    <row r="2" spans="1:9" ht="20.25" x14ac:dyDescent="0.3">
      <c r="A2" s="2"/>
      <c r="B2" s="4" t="s">
        <v>0</v>
      </c>
      <c r="C2" s="2"/>
      <c r="D2" s="1"/>
      <c r="E2" s="1"/>
      <c r="F2" s="1"/>
      <c r="G2" s="1"/>
      <c r="H2" s="1"/>
      <c r="I2" s="1"/>
    </row>
    <row r="3" spans="1:9" ht="15.75" x14ac:dyDescent="0.25">
      <c r="A3" s="2"/>
      <c r="B3" s="2"/>
      <c r="C3" s="2"/>
      <c r="D3" s="1"/>
      <c r="E3" s="1"/>
      <c r="F3" s="1"/>
      <c r="G3" s="1"/>
      <c r="H3" s="1"/>
      <c r="I3" s="1"/>
    </row>
    <row r="4" spans="1:9" ht="20.25" x14ac:dyDescent="0.3">
      <c r="A4" s="1"/>
      <c r="B4" s="4" t="s">
        <v>153</v>
      </c>
      <c r="C4" s="2"/>
      <c r="D4" s="1"/>
      <c r="E4" s="1"/>
      <c r="F4" s="1"/>
      <c r="G4" s="1"/>
      <c r="H4" s="1"/>
      <c r="I4" s="1"/>
    </row>
    <row r="5" spans="1:9" ht="20.25" x14ac:dyDescent="0.3">
      <c r="A5" s="4"/>
      <c r="B5" s="2"/>
      <c r="C5" s="2"/>
      <c r="D5" s="1"/>
      <c r="E5" s="1"/>
      <c r="F5" s="1"/>
      <c r="G5" s="1"/>
      <c r="H5" s="1"/>
      <c r="I5" s="1"/>
    </row>
    <row r="6" spans="1:9" ht="15.75" x14ac:dyDescent="0.25">
      <c r="A6" s="3" t="s">
        <v>1</v>
      </c>
      <c r="B6" s="3" t="s">
        <v>154</v>
      </c>
      <c r="C6" s="5"/>
      <c r="D6" s="1"/>
      <c r="E6" s="1"/>
      <c r="F6" s="1"/>
      <c r="G6" s="1"/>
      <c r="H6" s="1"/>
      <c r="I6" s="1"/>
    </row>
    <row r="7" spans="1:9" ht="15.75" x14ac:dyDescent="0.25">
      <c r="A7" s="3" t="s">
        <v>2</v>
      </c>
      <c r="B7" s="3" t="s">
        <v>3</v>
      </c>
      <c r="C7" s="5"/>
      <c r="D7" s="1"/>
      <c r="E7" s="1"/>
      <c r="F7" s="1"/>
      <c r="G7" s="1"/>
      <c r="H7" s="1"/>
      <c r="I7" s="1"/>
    </row>
    <row r="8" spans="1:9" ht="16.5" thickBot="1" x14ac:dyDescent="0.3">
      <c r="A8" s="3" t="s">
        <v>4</v>
      </c>
      <c r="B8" s="3" t="s">
        <v>155</v>
      </c>
      <c r="C8" s="5"/>
      <c r="D8" s="1"/>
      <c r="E8" s="1"/>
      <c r="F8" s="1"/>
      <c r="G8" s="1"/>
      <c r="H8" s="1"/>
      <c r="I8" s="1"/>
    </row>
    <row r="9" spans="1:9" ht="16.5" thickBot="1" x14ac:dyDescent="0.3">
      <c r="A9" s="3" t="s">
        <v>5</v>
      </c>
      <c r="B9" s="3" t="s">
        <v>148</v>
      </c>
      <c r="C9" s="5"/>
      <c r="D9" s="1"/>
      <c r="E9" s="29" t="s">
        <v>156</v>
      </c>
      <c r="F9" s="28"/>
      <c r="G9" s="34" t="s">
        <v>157</v>
      </c>
      <c r="H9" s="1"/>
      <c r="I9" s="1"/>
    </row>
    <row r="10" spans="1:9" ht="15.75" x14ac:dyDescent="0.25">
      <c r="A10" s="3" t="s">
        <v>6</v>
      </c>
      <c r="B10" s="3" t="s">
        <v>7</v>
      </c>
      <c r="C10" s="5"/>
      <c r="D10" s="1"/>
      <c r="E10" s="12" t="s">
        <v>158</v>
      </c>
      <c r="F10" s="1">
        <v>200</v>
      </c>
      <c r="G10" s="12" t="s">
        <v>158</v>
      </c>
      <c r="H10" s="1">
        <v>200</v>
      </c>
      <c r="I10" s="1" t="s">
        <v>159</v>
      </c>
    </row>
    <row r="11" spans="1:9" ht="16.5" thickBot="1" x14ac:dyDescent="0.3">
      <c r="A11" s="3" t="s">
        <v>8</v>
      </c>
      <c r="B11" s="3"/>
      <c r="C11" s="5"/>
      <c r="D11" s="1"/>
      <c r="E11" s="12" t="s">
        <v>160</v>
      </c>
      <c r="F11" s="1">
        <v>16666.666666666668</v>
      </c>
      <c r="G11" s="12">
        <v>16666.666666666668</v>
      </c>
      <c r="H11" s="1"/>
      <c r="I11" s="1"/>
    </row>
    <row r="12" spans="1:9" ht="15.75" x14ac:dyDescent="0.25">
      <c r="A12" s="329" t="s">
        <v>9</v>
      </c>
      <c r="B12" s="11" t="s">
        <v>151</v>
      </c>
      <c r="C12" s="27">
        <v>8.9999999999999993E-3</v>
      </c>
      <c r="D12" s="1" t="s">
        <v>159</v>
      </c>
      <c r="E12" s="30">
        <v>150</v>
      </c>
      <c r="F12" s="32"/>
      <c r="G12" s="30">
        <v>150</v>
      </c>
      <c r="H12" s="1"/>
      <c r="I12" s="1"/>
    </row>
    <row r="13" spans="1:9" ht="15.75" x14ac:dyDescent="0.25">
      <c r="A13" s="330"/>
      <c r="B13" s="6" t="s">
        <v>152</v>
      </c>
      <c r="C13" s="8">
        <v>3.0000000000000001E-3</v>
      </c>
      <c r="D13" s="1" t="s">
        <v>159</v>
      </c>
      <c r="E13" s="30">
        <v>50.000000000000007</v>
      </c>
      <c r="F13" s="32"/>
      <c r="G13" s="30">
        <v>50.000000000000007</v>
      </c>
      <c r="H13" s="1"/>
      <c r="I13" s="1"/>
    </row>
    <row r="14" spans="1:9" ht="15.75" x14ac:dyDescent="0.25">
      <c r="A14" s="330"/>
      <c r="B14" s="6" t="s">
        <v>10</v>
      </c>
      <c r="C14" s="8">
        <v>1.091E-3</v>
      </c>
      <c r="D14" s="1" t="s">
        <v>159</v>
      </c>
      <c r="E14" s="30">
        <v>18.183333333333334</v>
      </c>
      <c r="F14" s="32"/>
      <c r="G14" s="30">
        <v>18.183333333333334</v>
      </c>
      <c r="H14" s="1"/>
      <c r="I14" s="1"/>
    </row>
    <row r="15" spans="1:9" ht="15.75" x14ac:dyDescent="0.25">
      <c r="A15" s="330"/>
      <c r="B15" s="6" t="s">
        <v>11</v>
      </c>
      <c r="C15" s="8">
        <v>9.9400000000000009E-4</v>
      </c>
      <c r="D15" s="1" t="s">
        <v>159</v>
      </c>
      <c r="E15" s="30">
        <v>16.56666666666667</v>
      </c>
      <c r="F15" s="32"/>
      <c r="G15" s="30">
        <v>16.56666666666667</v>
      </c>
      <c r="H15" s="1"/>
      <c r="I15" s="1"/>
    </row>
    <row r="16" spans="1:9" ht="15.75" x14ac:dyDescent="0.25">
      <c r="A16" s="330"/>
      <c r="B16" s="6" t="s">
        <v>12</v>
      </c>
      <c r="C16" s="8">
        <v>1</v>
      </c>
      <c r="D16" s="1" t="s">
        <v>161</v>
      </c>
      <c r="E16" s="31">
        <v>16666.666666666668</v>
      </c>
      <c r="F16" s="33"/>
      <c r="G16" s="31">
        <v>16666.666666666668</v>
      </c>
      <c r="H16" s="1"/>
      <c r="I16" s="1"/>
    </row>
    <row r="17" spans="1:9" ht="15.75" x14ac:dyDescent="0.25">
      <c r="A17" s="330"/>
      <c r="B17" s="6" t="s">
        <v>13</v>
      </c>
      <c r="C17" s="8">
        <v>1</v>
      </c>
      <c r="D17" s="1" t="s">
        <v>161</v>
      </c>
      <c r="E17" s="31">
        <v>16666.666666666668</v>
      </c>
      <c r="F17" s="33"/>
      <c r="G17" s="31">
        <v>16666.666666666668</v>
      </c>
      <c r="H17" s="1"/>
      <c r="I17" s="1"/>
    </row>
    <row r="18" spans="1:9" ht="15.75" x14ac:dyDescent="0.25">
      <c r="A18" s="330"/>
      <c r="B18" s="6" t="s">
        <v>14</v>
      </c>
      <c r="C18" s="8">
        <v>1</v>
      </c>
      <c r="D18" s="1" t="s">
        <v>161</v>
      </c>
      <c r="E18" s="31">
        <v>16666.666666666668</v>
      </c>
      <c r="F18" s="33"/>
      <c r="G18" s="31">
        <v>16666.666666666668</v>
      </c>
    </row>
    <row r="19" spans="1:9" ht="15.75" thickBot="1" x14ac:dyDescent="0.3">
      <c r="A19" s="331"/>
      <c r="B19" s="23" t="s">
        <v>15</v>
      </c>
      <c r="C19" s="24">
        <v>8.9286000000000001E-3</v>
      </c>
      <c r="D19" s="1" t="s">
        <v>161</v>
      </c>
      <c r="E19" s="31">
        <v>148.81</v>
      </c>
      <c r="F19" s="33"/>
      <c r="G19" s="31">
        <v>148.81</v>
      </c>
    </row>
    <row r="22" spans="1:9" x14ac:dyDescent="0.25">
      <c r="A22" s="120"/>
      <c r="B22" s="120"/>
      <c r="C22" s="120"/>
    </row>
    <row r="23" spans="1:9" ht="15.75" x14ac:dyDescent="0.25">
      <c r="A23" s="124" t="s">
        <v>233</v>
      </c>
      <c r="B23" s="124" t="s">
        <v>233</v>
      </c>
      <c r="C23" s="125" t="s">
        <v>234</v>
      </c>
    </row>
    <row r="24" spans="1:9" ht="15.75" x14ac:dyDescent="0.25">
      <c r="A24" s="122" t="s">
        <v>235</v>
      </c>
      <c r="B24" s="122" t="s">
        <v>236</v>
      </c>
      <c r="C24" s="123" t="s">
        <v>237</v>
      </c>
    </row>
    <row r="25" spans="1:9" ht="15.75" x14ac:dyDescent="0.25">
      <c r="A25" s="122" t="s">
        <v>238</v>
      </c>
      <c r="B25" s="122" t="s">
        <v>239</v>
      </c>
      <c r="C25" s="123" t="s">
        <v>240</v>
      </c>
    </row>
    <row r="26" spans="1:9" x14ac:dyDescent="0.25">
      <c r="A26" s="121"/>
      <c r="B26" s="121"/>
      <c r="C26" s="120"/>
    </row>
    <row r="27" spans="1:9" x14ac:dyDescent="0.25">
      <c r="A27" s="121"/>
      <c r="B27" s="121"/>
    </row>
    <row r="28" spans="1:9" x14ac:dyDescent="0.25">
      <c r="A28" s="121"/>
      <c r="B28" s="121"/>
    </row>
    <row r="29" spans="1:9" x14ac:dyDescent="0.25">
      <c r="A29" s="121"/>
      <c r="B29" s="121"/>
    </row>
    <row r="30" spans="1:9" x14ac:dyDescent="0.25">
      <c r="A30" s="121"/>
      <c r="B30" s="121"/>
    </row>
  </sheetData>
  <mergeCells count="1">
    <mergeCell ref="A12:A19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/>
  <dimension ref="A3:I41"/>
  <sheetViews>
    <sheetView workbookViewId="0">
      <selection activeCell="E22" sqref="E22"/>
    </sheetView>
  </sheetViews>
  <sheetFormatPr baseColWidth="10" defaultRowHeight="15" x14ac:dyDescent="0.25"/>
  <cols>
    <col min="1" max="1" width="30.140625" customWidth="1"/>
    <col min="2" max="2" width="29.28515625" customWidth="1"/>
    <col min="3" max="3" width="14.28515625" customWidth="1"/>
    <col min="5" max="5" width="13.28515625" customWidth="1"/>
  </cols>
  <sheetData>
    <row r="3" spans="1:9" ht="20.25" x14ac:dyDescent="0.3">
      <c r="A3" s="2"/>
      <c r="B3" s="4" t="s">
        <v>0</v>
      </c>
      <c r="C3" s="2"/>
    </row>
    <row r="4" spans="1:9" ht="15.75" x14ac:dyDescent="0.25">
      <c r="A4" s="2"/>
      <c r="B4" s="2"/>
      <c r="C4" s="2"/>
    </row>
    <row r="5" spans="1:9" ht="20.25" x14ac:dyDescent="0.3">
      <c r="A5" s="1"/>
      <c r="B5" s="4" t="s">
        <v>162</v>
      </c>
      <c r="C5" s="2"/>
    </row>
    <row r="6" spans="1:9" ht="20.25" x14ac:dyDescent="0.3">
      <c r="A6" s="4"/>
      <c r="B6" s="2"/>
      <c r="C6" s="2"/>
    </row>
    <row r="7" spans="1:9" ht="15.75" x14ac:dyDescent="0.25">
      <c r="A7" s="3" t="s">
        <v>1</v>
      </c>
      <c r="B7" s="3" t="s">
        <v>86</v>
      </c>
      <c r="C7" s="5"/>
    </row>
    <row r="8" spans="1:9" ht="15.75" x14ac:dyDescent="0.25">
      <c r="A8" s="3" t="s">
        <v>2</v>
      </c>
      <c r="B8" s="3" t="s">
        <v>3</v>
      </c>
      <c r="C8" s="5"/>
      <c r="E8" s="46"/>
      <c r="F8" s="46"/>
      <c r="G8" s="46"/>
      <c r="H8" s="46"/>
    </row>
    <row r="9" spans="1:9" ht="16.5" thickBot="1" x14ac:dyDescent="0.3">
      <c r="A9" s="3" t="s">
        <v>4</v>
      </c>
      <c r="B9" s="3" t="s">
        <v>163</v>
      </c>
      <c r="C9" s="5"/>
      <c r="E9" s="46"/>
      <c r="F9" s="46"/>
      <c r="G9" s="46"/>
      <c r="H9" s="46"/>
    </row>
    <row r="10" spans="1:9" ht="16.5" thickBot="1" x14ac:dyDescent="0.3">
      <c r="A10" s="3" t="s">
        <v>5</v>
      </c>
      <c r="B10" s="3" t="s">
        <v>31</v>
      </c>
      <c r="C10" s="5"/>
      <c r="E10" s="29" t="s">
        <v>156</v>
      </c>
      <c r="F10" s="28"/>
      <c r="G10" s="34"/>
      <c r="H10" s="1"/>
      <c r="I10" s="1"/>
    </row>
    <row r="11" spans="1:9" ht="15.75" x14ac:dyDescent="0.25">
      <c r="A11" s="3" t="s">
        <v>6</v>
      </c>
      <c r="B11" s="3" t="s">
        <v>7</v>
      </c>
      <c r="C11" s="5"/>
      <c r="E11" s="12" t="s">
        <v>158</v>
      </c>
      <c r="F11" s="1">
        <v>165</v>
      </c>
      <c r="G11" s="12"/>
      <c r="H11" s="1"/>
      <c r="I11" s="1"/>
    </row>
    <row r="12" spans="1:9" ht="16.5" thickBot="1" x14ac:dyDescent="0.3">
      <c r="A12" s="3" t="s">
        <v>8</v>
      </c>
      <c r="B12" s="3"/>
      <c r="C12" s="5"/>
      <c r="E12" s="12" t="s">
        <v>160</v>
      </c>
      <c r="F12" s="47">
        <f>F11/8.8*1000</f>
        <v>18750</v>
      </c>
      <c r="G12" s="12"/>
      <c r="H12" s="1"/>
      <c r="I12" s="1"/>
    </row>
    <row r="13" spans="1:9" ht="15.75" x14ac:dyDescent="0.25">
      <c r="A13" s="329" t="s">
        <v>9</v>
      </c>
      <c r="B13" s="11" t="s">
        <v>151</v>
      </c>
      <c r="C13" s="7">
        <v>7.1999999999999998E-3</v>
      </c>
      <c r="D13" t="s">
        <v>174</v>
      </c>
      <c r="E13" s="30">
        <f>C13*F12</f>
        <v>135</v>
      </c>
      <c r="F13" s="32"/>
      <c r="G13" s="30"/>
      <c r="H13" s="1"/>
      <c r="I13" s="1"/>
    </row>
    <row r="14" spans="1:9" ht="15.75" x14ac:dyDescent="0.25">
      <c r="A14" s="330"/>
      <c r="B14" s="6" t="s">
        <v>164</v>
      </c>
      <c r="C14" s="8">
        <v>1.6000000000000001E-3</v>
      </c>
      <c r="D14" t="s">
        <v>174</v>
      </c>
      <c r="E14" s="30">
        <f>C14*F12</f>
        <v>30</v>
      </c>
      <c r="F14" s="32"/>
      <c r="G14" s="30"/>
      <c r="H14" s="1"/>
      <c r="I14" s="1"/>
    </row>
    <row r="15" spans="1:9" ht="15.75" x14ac:dyDescent="0.25">
      <c r="A15" s="330"/>
      <c r="B15" s="6" t="s">
        <v>10</v>
      </c>
      <c r="C15" s="8">
        <v>1.4544E-3</v>
      </c>
      <c r="D15" t="s">
        <v>174</v>
      </c>
      <c r="E15" s="30">
        <f>C15*F12</f>
        <v>27.27</v>
      </c>
      <c r="F15" s="32"/>
      <c r="G15" s="30"/>
      <c r="H15" s="1"/>
      <c r="I15" s="1"/>
    </row>
    <row r="16" spans="1:9" ht="15.75" x14ac:dyDescent="0.25">
      <c r="A16" s="330"/>
      <c r="B16" s="6" t="s">
        <v>11</v>
      </c>
      <c r="C16" s="8">
        <v>1.3247999999999999E-3</v>
      </c>
      <c r="D16" t="s">
        <v>190</v>
      </c>
      <c r="E16" s="30">
        <f>C16*F12</f>
        <v>24.839999999999996</v>
      </c>
      <c r="F16" s="32"/>
      <c r="G16" s="30"/>
      <c r="H16" s="1"/>
      <c r="I16" s="1"/>
    </row>
    <row r="17" spans="1:9" ht="15.75" x14ac:dyDescent="0.25">
      <c r="A17" s="330"/>
      <c r="B17" s="6" t="s">
        <v>12</v>
      </c>
      <c r="C17" s="8">
        <v>1</v>
      </c>
      <c r="D17" s="1" t="s">
        <v>161</v>
      </c>
      <c r="E17" s="30">
        <f>C17*F12</f>
        <v>18750</v>
      </c>
      <c r="F17" s="33"/>
      <c r="G17" s="31"/>
      <c r="H17" s="1"/>
      <c r="I17" s="1"/>
    </row>
    <row r="18" spans="1:9" ht="15.75" x14ac:dyDescent="0.25">
      <c r="A18" s="330"/>
      <c r="B18" s="6" t="s">
        <v>13</v>
      </c>
      <c r="C18" s="8">
        <v>1</v>
      </c>
      <c r="D18" s="1" t="s">
        <v>161</v>
      </c>
      <c r="E18" s="30">
        <f>C18*F12</f>
        <v>18750</v>
      </c>
      <c r="F18" s="33"/>
      <c r="G18" s="31"/>
      <c r="H18" s="1"/>
      <c r="I18" s="1"/>
    </row>
    <row r="19" spans="1:9" ht="15.75" x14ac:dyDescent="0.25">
      <c r="A19" s="330"/>
      <c r="B19" s="6" t="s">
        <v>14</v>
      </c>
      <c r="C19" s="8">
        <v>1</v>
      </c>
      <c r="D19" s="1" t="s">
        <v>161</v>
      </c>
      <c r="E19" s="30">
        <f>C19*F12</f>
        <v>18750</v>
      </c>
      <c r="F19" s="33"/>
      <c r="G19" s="31"/>
    </row>
    <row r="20" spans="1:9" ht="15.75" thickBot="1" x14ac:dyDescent="0.3">
      <c r="A20" s="331"/>
      <c r="B20" s="23" t="s">
        <v>165</v>
      </c>
      <c r="C20" s="24" t="s">
        <v>34</v>
      </c>
      <c r="D20" s="1" t="s">
        <v>161</v>
      </c>
      <c r="E20" s="30">
        <v>188</v>
      </c>
      <c r="F20" s="33"/>
      <c r="G20" s="31"/>
    </row>
    <row r="22" spans="1:9" ht="15.75" x14ac:dyDescent="0.25">
      <c r="A22" s="12" t="s">
        <v>16</v>
      </c>
      <c r="B22" s="22" t="s">
        <v>166</v>
      </c>
      <c r="C22" s="1"/>
    </row>
    <row r="23" spans="1:9" x14ac:dyDescent="0.25">
      <c r="A23" s="12" t="s">
        <v>17</v>
      </c>
      <c r="B23" s="12"/>
      <c r="C23" s="1"/>
    </row>
    <row r="24" spans="1:9" x14ac:dyDescent="0.25">
      <c r="A24" s="12" t="s">
        <v>18</v>
      </c>
      <c r="B24" s="12"/>
      <c r="C24" s="1"/>
    </row>
    <row r="25" spans="1:9" x14ac:dyDescent="0.25">
      <c r="A25" s="12" t="s">
        <v>19</v>
      </c>
      <c r="B25" s="12"/>
      <c r="C25" s="1"/>
    </row>
    <row r="26" spans="1:9" x14ac:dyDescent="0.25">
      <c r="A26" s="12" t="s">
        <v>20</v>
      </c>
      <c r="B26" s="12"/>
      <c r="C26" s="1"/>
    </row>
    <row r="27" spans="1:9" x14ac:dyDescent="0.25">
      <c r="A27" s="12" t="s">
        <v>21</v>
      </c>
      <c r="B27" s="12"/>
      <c r="C27" s="1"/>
    </row>
    <row r="28" spans="1:9" x14ac:dyDescent="0.25">
      <c r="A28" s="12" t="s">
        <v>22</v>
      </c>
      <c r="B28" s="12"/>
      <c r="C28" s="1"/>
    </row>
    <row r="29" spans="1:9" x14ac:dyDescent="0.25">
      <c r="A29" s="12" t="s">
        <v>23</v>
      </c>
      <c r="B29" s="12"/>
      <c r="C29" s="1"/>
    </row>
    <row r="30" spans="1:9" x14ac:dyDescent="0.25">
      <c r="A30" s="12" t="s">
        <v>24</v>
      </c>
      <c r="B30" s="12"/>
      <c r="C30" s="1"/>
    </row>
    <row r="31" spans="1:9" x14ac:dyDescent="0.25">
      <c r="A31" s="12" t="s">
        <v>25</v>
      </c>
      <c r="B31" s="12"/>
      <c r="C31" s="1"/>
    </row>
    <row r="32" spans="1:9" x14ac:dyDescent="0.25">
      <c r="A32" s="17" t="s">
        <v>26</v>
      </c>
      <c r="B32" s="12"/>
      <c r="C32" s="1"/>
    </row>
    <row r="33" spans="1:4" x14ac:dyDescent="0.25">
      <c r="A33" s="17" t="s">
        <v>27</v>
      </c>
      <c r="B33" s="12"/>
      <c r="C33" s="1"/>
    </row>
    <row r="35" spans="1:4" ht="15.75" x14ac:dyDescent="0.25">
      <c r="A35" s="124" t="s">
        <v>233</v>
      </c>
      <c r="B35" s="124" t="s">
        <v>233</v>
      </c>
      <c r="C35" s="125" t="s">
        <v>234</v>
      </c>
      <c r="D35" s="120"/>
    </row>
    <row r="36" spans="1:4" ht="15.75" x14ac:dyDescent="0.25">
      <c r="A36" s="122" t="s">
        <v>235</v>
      </c>
      <c r="B36" s="122" t="s">
        <v>236</v>
      </c>
      <c r="C36" s="123" t="s">
        <v>237</v>
      </c>
      <c r="D36" s="120"/>
    </row>
    <row r="37" spans="1:4" ht="15.75" x14ac:dyDescent="0.25">
      <c r="A37" s="122" t="s">
        <v>238</v>
      </c>
      <c r="B37" s="122" t="s">
        <v>239</v>
      </c>
      <c r="C37" s="123" t="s">
        <v>240</v>
      </c>
      <c r="D37" s="120"/>
    </row>
    <row r="38" spans="1:4" x14ac:dyDescent="0.25">
      <c r="A38" s="121"/>
      <c r="B38" s="121"/>
    </row>
    <row r="39" spans="1:4" x14ac:dyDescent="0.25">
      <c r="A39" s="121"/>
      <c r="B39" s="121"/>
    </row>
    <row r="40" spans="1:4" x14ac:dyDescent="0.25">
      <c r="A40" s="121"/>
      <c r="B40" s="121"/>
    </row>
    <row r="41" spans="1:4" x14ac:dyDescent="0.25">
      <c r="A41" s="121"/>
      <c r="B41" s="121"/>
    </row>
  </sheetData>
  <mergeCells count="1">
    <mergeCell ref="A13:A20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4"/>
  <dimension ref="A3:H32"/>
  <sheetViews>
    <sheetView topLeftCell="A7" workbookViewId="0">
      <selection activeCell="C19" sqref="C19"/>
    </sheetView>
  </sheetViews>
  <sheetFormatPr baseColWidth="10" defaultRowHeight="15" x14ac:dyDescent="0.25"/>
  <cols>
    <col min="1" max="1" width="26.28515625" customWidth="1"/>
    <col min="2" max="2" width="32.85546875" customWidth="1"/>
  </cols>
  <sheetData>
    <row r="3" spans="1:8" ht="20.25" x14ac:dyDescent="0.3">
      <c r="A3" s="2"/>
      <c r="B3" s="4" t="s">
        <v>0</v>
      </c>
      <c r="C3" s="2"/>
      <c r="D3" s="1"/>
      <c r="E3" s="1"/>
      <c r="F3" s="1"/>
      <c r="G3" s="1"/>
    </row>
    <row r="4" spans="1:8" ht="15.75" x14ac:dyDescent="0.25">
      <c r="A4" s="2"/>
      <c r="B4" s="2"/>
      <c r="C4" s="2"/>
      <c r="D4" s="1"/>
      <c r="E4" s="1"/>
      <c r="F4" s="1"/>
      <c r="G4" s="1"/>
    </row>
    <row r="5" spans="1:8" ht="20.25" x14ac:dyDescent="0.3">
      <c r="A5" s="4"/>
      <c r="B5" s="4" t="s">
        <v>167</v>
      </c>
      <c r="C5" s="2"/>
      <c r="D5" s="1"/>
      <c r="E5" s="1"/>
      <c r="F5" s="1"/>
      <c r="G5" s="1"/>
    </row>
    <row r="6" spans="1:8" ht="20.25" x14ac:dyDescent="0.3">
      <c r="A6" s="4"/>
      <c r="B6" s="2"/>
      <c r="C6" s="2"/>
      <c r="D6" s="1"/>
      <c r="E6" s="1"/>
      <c r="F6" s="1"/>
      <c r="G6" s="1"/>
    </row>
    <row r="7" spans="1:8" ht="15.75" x14ac:dyDescent="0.25">
      <c r="A7" s="3" t="s">
        <v>168</v>
      </c>
      <c r="B7" s="3" t="s">
        <v>169</v>
      </c>
      <c r="C7" s="5"/>
      <c r="D7" s="1"/>
      <c r="E7" s="1"/>
      <c r="F7" s="1"/>
      <c r="G7" s="1"/>
    </row>
    <row r="8" spans="1:8" ht="15.75" x14ac:dyDescent="0.25">
      <c r="A8" s="3" t="s">
        <v>2</v>
      </c>
      <c r="B8" s="3" t="s">
        <v>38</v>
      </c>
      <c r="C8" s="5"/>
      <c r="D8" s="1"/>
      <c r="E8" s="1"/>
      <c r="F8" s="1"/>
      <c r="G8" s="1"/>
    </row>
    <row r="9" spans="1:8" ht="16.5" thickBot="1" x14ac:dyDescent="0.3">
      <c r="A9" s="3" t="s">
        <v>4</v>
      </c>
      <c r="B9" s="3" t="s">
        <v>39</v>
      </c>
      <c r="C9" s="5"/>
      <c r="D9" s="1"/>
      <c r="E9" s="1"/>
      <c r="F9" s="1"/>
      <c r="G9" s="1"/>
    </row>
    <row r="10" spans="1:8" ht="16.5" thickBot="1" x14ac:dyDescent="0.3">
      <c r="A10" s="3" t="s">
        <v>5</v>
      </c>
      <c r="B10" s="3" t="s">
        <v>170</v>
      </c>
      <c r="C10" s="5"/>
      <c r="D10" s="1"/>
      <c r="E10" s="29" t="s">
        <v>171</v>
      </c>
      <c r="F10" s="28"/>
      <c r="G10" s="34"/>
    </row>
    <row r="11" spans="1:8" ht="15.75" x14ac:dyDescent="0.25">
      <c r="A11" s="3" t="s">
        <v>6</v>
      </c>
      <c r="B11" s="3" t="s">
        <v>7</v>
      </c>
      <c r="C11" s="5"/>
      <c r="D11" s="1"/>
      <c r="E11" s="12" t="s">
        <v>158</v>
      </c>
      <c r="F11" s="1">
        <v>210</v>
      </c>
      <c r="G11" s="12"/>
    </row>
    <row r="12" spans="1:8" ht="15.75" x14ac:dyDescent="0.25">
      <c r="A12" s="3" t="s">
        <v>8</v>
      </c>
      <c r="B12" s="3"/>
      <c r="C12" s="5"/>
      <c r="D12" s="1"/>
      <c r="E12" s="12" t="s">
        <v>160</v>
      </c>
      <c r="F12" s="1">
        <v>22801.302931596092</v>
      </c>
      <c r="G12" s="12"/>
      <c r="H12">
        <f>(C13+C14+C15+C16)/30</f>
        <v>3.0699999999999998E-4</v>
      </c>
    </row>
    <row r="13" spans="1:8" ht="15.75" x14ac:dyDescent="0.25">
      <c r="A13" s="332" t="s">
        <v>9</v>
      </c>
      <c r="B13" s="18" t="s">
        <v>172</v>
      </c>
      <c r="C13" s="13">
        <v>7.4999999999999997E-3</v>
      </c>
      <c r="D13" s="1" t="s">
        <v>159</v>
      </c>
      <c r="E13" s="30">
        <v>171.009771986971</v>
      </c>
      <c r="F13" s="32"/>
      <c r="G13" s="30"/>
    </row>
    <row r="14" spans="1:8" ht="15.75" x14ac:dyDescent="0.25">
      <c r="A14" s="333"/>
      <c r="B14" s="18" t="s">
        <v>43</v>
      </c>
      <c r="C14" s="13">
        <v>6.7500000000000004E-4</v>
      </c>
      <c r="D14" s="1" t="s">
        <v>159</v>
      </c>
      <c r="E14" s="30">
        <v>15.390879478827364</v>
      </c>
      <c r="F14" s="32"/>
      <c r="G14" s="30"/>
    </row>
    <row r="15" spans="1:8" ht="15.75" x14ac:dyDescent="0.25">
      <c r="A15" s="333"/>
      <c r="B15" s="18" t="s">
        <v>44</v>
      </c>
      <c r="C15" s="13">
        <v>3.6000000000000002E-4</v>
      </c>
      <c r="D15" s="1" t="s">
        <v>159</v>
      </c>
      <c r="E15" s="30">
        <v>8.2084690553745929</v>
      </c>
      <c r="F15" s="32"/>
      <c r="G15" s="30"/>
    </row>
    <row r="16" spans="1:8" ht="15.75" x14ac:dyDescent="0.25">
      <c r="A16" s="333"/>
      <c r="B16" s="18" t="s">
        <v>95</v>
      </c>
      <c r="C16" s="13">
        <v>6.7500000000000004E-4</v>
      </c>
      <c r="D16" s="1" t="s">
        <v>159</v>
      </c>
      <c r="E16" s="30">
        <v>15.390879478827364</v>
      </c>
      <c r="F16" s="32"/>
      <c r="G16" s="30"/>
    </row>
    <row r="17" spans="1:7" ht="15.75" x14ac:dyDescent="0.25">
      <c r="A17" s="333"/>
      <c r="B17" s="18" t="s">
        <v>173</v>
      </c>
      <c r="C17" s="13">
        <v>30</v>
      </c>
      <c r="D17" s="1" t="s">
        <v>161</v>
      </c>
      <c r="E17" s="31">
        <v>684039.08794788271</v>
      </c>
      <c r="F17" s="33"/>
      <c r="G17" s="31"/>
    </row>
    <row r="18" spans="1:7" ht="15.75" x14ac:dyDescent="0.25">
      <c r="A18" s="333"/>
      <c r="B18" s="18" t="s">
        <v>47</v>
      </c>
      <c r="C18" s="111">
        <v>5.718E-3</v>
      </c>
      <c r="D18" s="1" t="s">
        <v>174</v>
      </c>
      <c r="E18" s="31">
        <v>130.37785016286645</v>
      </c>
      <c r="F18" s="33"/>
      <c r="G18" s="31"/>
    </row>
    <row r="19" spans="1:7" ht="15.75" x14ac:dyDescent="0.25">
      <c r="A19" s="333"/>
      <c r="B19" s="18" t="s">
        <v>48</v>
      </c>
      <c r="C19" s="13">
        <v>1.4339999999999999E-3</v>
      </c>
      <c r="D19" s="1" t="s">
        <v>174</v>
      </c>
      <c r="E19" s="31">
        <v>32.697068403908794</v>
      </c>
      <c r="F19" s="33"/>
      <c r="G19" s="31"/>
    </row>
    <row r="20" spans="1:7" ht="15.75" x14ac:dyDescent="0.25">
      <c r="A20" s="333"/>
      <c r="B20" s="18" t="s">
        <v>12</v>
      </c>
      <c r="C20" s="13">
        <v>1</v>
      </c>
      <c r="D20" s="1" t="s">
        <v>161</v>
      </c>
      <c r="E20" s="31">
        <v>22801.302931596092</v>
      </c>
      <c r="F20" s="33"/>
      <c r="G20" s="31"/>
    </row>
    <row r="21" spans="1:7" ht="15.75" x14ac:dyDescent="0.25">
      <c r="A21" s="333"/>
      <c r="B21" s="18" t="s">
        <v>13</v>
      </c>
      <c r="C21" s="13">
        <v>1</v>
      </c>
      <c r="D21" s="1" t="s">
        <v>161</v>
      </c>
      <c r="E21" s="31">
        <v>22801.302931596092</v>
      </c>
      <c r="F21" s="1"/>
      <c r="G21" s="12"/>
    </row>
    <row r="22" spans="1:7" ht="15.75" x14ac:dyDescent="0.25">
      <c r="A22" s="333"/>
      <c r="B22" s="18" t="s">
        <v>14</v>
      </c>
      <c r="C22" s="13">
        <v>1</v>
      </c>
      <c r="D22" s="1" t="s">
        <v>161</v>
      </c>
      <c r="E22" s="31">
        <v>22801.302931596092</v>
      </c>
      <c r="F22" s="1"/>
      <c r="G22" s="12"/>
    </row>
    <row r="23" spans="1:7" x14ac:dyDescent="0.25">
      <c r="A23" s="334"/>
      <c r="B23" s="19" t="s">
        <v>49</v>
      </c>
      <c r="C23" s="20">
        <v>6.2500000000000003E-3</v>
      </c>
      <c r="D23" s="1" t="s">
        <v>161</v>
      </c>
      <c r="E23" s="31">
        <v>142.50814332247558</v>
      </c>
      <c r="F23" s="1"/>
      <c r="G23" s="12"/>
    </row>
    <row r="26" spans="1:7" ht="15.75" x14ac:dyDescent="0.25">
      <c r="A26" s="124" t="s">
        <v>233</v>
      </c>
      <c r="B26" s="124" t="s">
        <v>233</v>
      </c>
      <c r="C26" s="125" t="s">
        <v>234</v>
      </c>
    </row>
    <row r="27" spans="1:7" ht="15.75" x14ac:dyDescent="0.25">
      <c r="A27" s="122" t="s">
        <v>235</v>
      </c>
      <c r="B27" s="122" t="s">
        <v>236</v>
      </c>
      <c r="C27" s="123" t="s">
        <v>237</v>
      </c>
    </row>
    <row r="28" spans="1:7" ht="15.75" x14ac:dyDescent="0.25">
      <c r="A28" s="122" t="s">
        <v>238</v>
      </c>
      <c r="B28" s="122" t="s">
        <v>239</v>
      </c>
      <c r="C28" s="123" t="s">
        <v>240</v>
      </c>
    </row>
    <row r="29" spans="1:7" x14ac:dyDescent="0.25">
      <c r="A29" s="121"/>
      <c r="B29" s="121"/>
    </row>
    <row r="30" spans="1:7" x14ac:dyDescent="0.25">
      <c r="A30" s="121"/>
      <c r="B30" s="121"/>
    </row>
    <row r="31" spans="1:7" x14ac:dyDescent="0.25">
      <c r="A31" s="121"/>
      <c r="B31" s="121"/>
    </row>
    <row r="32" spans="1:7" x14ac:dyDescent="0.25">
      <c r="A32" s="121"/>
      <c r="B32" s="121"/>
    </row>
  </sheetData>
  <mergeCells count="1">
    <mergeCell ref="A13:A23"/>
  </mergeCells>
  <pageMargins left="0.7" right="0.7" top="0.75" bottom="0.75" header="0.3" footer="0.3"/>
  <legacyDrawing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5"/>
  <dimension ref="A3:H29"/>
  <sheetViews>
    <sheetView topLeftCell="A4" workbookViewId="0">
      <selection activeCell="A5" sqref="A5"/>
    </sheetView>
  </sheetViews>
  <sheetFormatPr baseColWidth="10" defaultRowHeight="15" x14ac:dyDescent="0.25"/>
  <cols>
    <col min="1" max="1" width="27.85546875" customWidth="1"/>
    <col min="2" max="2" width="32.85546875" customWidth="1"/>
    <col min="3" max="3" width="14.28515625" customWidth="1"/>
    <col min="4" max="4" width="8.28515625" customWidth="1"/>
    <col min="5" max="5" width="11.5703125" customWidth="1"/>
  </cols>
  <sheetData>
    <row r="3" spans="1:8" ht="20.25" x14ac:dyDescent="0.3">
      <c r="A3" s="2"/>
      <c r="B3" s="4" t="s">
        <v>0</v>
      </c>
      <c r="C3" s="2"/>
    </row>
    <row r="4" spans="1:8" ht="15.75" x14ac:dyDescent="0.25">
      <c r="A4" s="2"/>
      <c r="B4" s="2"/>
      <c r="C4" s="2"/>
    </row>
    <row r="5" spans="1:8" ht="20.25" x14ac:dyDescent="0.3">
      <c r="A5" s="1" t="s">
        <v>431</v>
      </c>
      <c r="B5" s="4" t="s">
        <v>175</v>
      </c>
      <c r="C5" s="2"/>
    </row>
    <row r="6" spans="1:8" ht="20.25" x14ac:dyDescent="0.3">
      <c r="A6" s="4"/>
      <c r="B6" s="2"/>
      <c r="C6" s="2"/>
    </row>
    <row r="7" spans="1:8" ht="15.75" x14ac:dyDescent="0.25">
      <c r="A7" s="3" t="s">
        <v>1</v>
      </c>
      <c r="B7" s="3" t="s">
        <v>176</v>
      </c>
      <c r="C7" s="5"/>
    </row>
    <row r="8" spans="1:8" ht="15.75" x14ac:dyDescent="0.25">
      <c r="A8" s="3" t="s">
        <v>2</v>
      </c>
      <c r="B8" s="3" t="s">
        <v>3</v>
      </c>
      <c r="C8" s="5"/>
    </row>
    <row r="9" spans="1:8" ht="16.5" thickBot="1" x14ac:dyDescent="0.3">
      <c r="A9" s="3" t="s">
        <v>4</v>
      </c>
      <c r="B9" s="3" t="s">
        <v>163</v>
      </c>
      <c r="C9" s="5"/>
    </row>
    <row r="10" spans="1:8" ht="16.5" thickBot="1" x14ac:dyDescent="0.3">
      <c r="A10" s="3" t="s">
        <v>5</v>
      </c>
      <c r="B10" s="3" t="s">
        <v>31</v>
      </c>
      <c r="C10" s="5"/>
      <c r="E10" s="29" t="s">
        <v>156</v>
      </c>
      <c r="F10" s="28"/>
      <c r="G10" s="48" t="s">
        <v>157</v>
      </c>
    </row>
    <row r="11" spans="1:8" ht="15.75" x14ac:dyDescent="0.25">
      <c r="A11" s="3" t="s">
        <v>6</v>
      </c>
      <c r="B11" s="3" t="s">
        <v>7</v>
      </c>
      <c r="C11" s="5"/>
      <c r="E11" s="12" t="s">
        <v>158</v>
      </c>
      <c r="F11" s="1">
        <v>150</v>
      </c>
      <c r="G11" s="12" t="s">
        <v>158</v>
      </c>
      <c r="H11" s="49">
        <v>260</v>
      </c>
    </row>
    <row r="12" spans="1:8" ht="16.5" thickBot="1" x14ac:dyDescent="0.3">
      <c r="A12" s="3" t="s">
        <v>8</v>
      </c>
      <c r="B12" s="3"/>
      <c r="C12" s="5"/>
      <c r="E12" s="12" t="s">
        <v>160</v>
      </c>
      <c r="F12" s="47">
        <f>150*1000/16</f>
        <v>9375</v>
      </c>
      <c r="G12" s="30">
        <f>H11/16*1000</f>
        <v>16250</v>
      </c>
    </row>
    <row r="13" spans="1:8" ht="15.75" x14ac:dyDescent="0.25">
      <c r="A13" s="329" t="s">
        <v>9</v>
      </c>
      <c r="B13" s="11" t="s">
        <v>151</v>
      </c>
      <c r="C13" s="7">
        <v>1.2800000000000001E-2</v>
      </c>
      <c r="D13" t="s">
        <v>174</v>
      </c>
      <c r="E13" s="30">
        <f>C13*F12</f>
        <v>120</v>
      </c>
      <c r="F13" s="32"/>
      <c r="G13" s="30">
        <f>C13*G12</f>
        <v>208</v>
      </c>
    </row>
    <row r="14" spans="1:8" ht="15.75" x14ac:dyDescent="0.25">
      <c r="A14" s="330"/>
      <c r="B14" s="6" t="s">
        <v>164</v>
      </c>
      <c r="C14" s="8">
        <v>3.2000000000000002E-3</v>
      </c>
      <c r="D14" t="s">
        <v>174</v>
      </c>
      <c r="E14" s="30">
        <f>C14*F12</f>
        <v>30</v>
      </c>
      <c r="F14" s="32"/>
      <c r="G14" s="30">
        <f>C14*G12</f>
        <v>52</v>
      </c>
    </row>
    <row r="15" spans="1:8" ht="15.75" x14ac:dyDescent="0.25">
      <c r="A15" s="330"/>
      <c r="B15" s="6" t="s">
        <v>10</v>
      </c>
      <c r="C15" s="8">
        <v>1.4544E-3</v>
      </c>
      <c r="D15" t="s">
        <v>174</v>
      </c>
      <c r="E15" s="30">
        <f>C15*F12</f>
        <v>13.635</v>
      </c>
      <c r="F15" s="32"/>
      <c r="G15" s="30">
        <f>C15*G12</f>
        <v>23.634</v>
      </c>
    </row>
    <row r="16" spans="1:8" ht="15.75" x14ac:dyDescent="0.25">
      <c r="A16" s="330"/>
      <c r="B16" s="6" t="s">
        <v>11</v>
      </c>
      <c r="C16" s="8">
        <v>1.3247999999999999E-3</v>
      </c>
      <c r="D16" t="s">
        <v>174</v>
      </c>
      <c r="E16" s="30">
        <f>C16*F12</f>
        <v>12.419999999999998</v>
      </c>
      <c r="F16" s="32"/>
      <c r="G16" s="30">
        <f>C16*G12</f>
        <v>21.527999999999999</v>
      </c>
    </row>
    <row r="17" spans="1:7" ht="15.75" x14ac:dyDescent="0.25">
      <c r="A17" s="330"/>
      <c r="B17" s="6" t="s">
        <v>12</v>
      </c>
      <c r="C17" s="8">
        <v>1</v>
      </c>
      <c r="D17" t="s">
        <v>161</v>
      </c>
      <c r="E17" s="30">
        <f>C17*F12</f>
        <v>9375</v>
      </c>
      <c r="F17" s="33"/>
      <c r="G17" s="30">
        <f>C17*G12</f>
        <v>16250</v>
      </c>
    </row>
    <row r="18" spans="1:7" ht="15.75" x14ac:dyDescent="0.25">
      <c r="A18" s="330"/>
      <c r="B18" s="6" t="s">
        <v>13</v>
      </c>
      <c r="C18" s="8">
        <v>1</v>
      </c>
      <c r="D18" t="s">
        <v>161</v>
      </c>
      <c r="E18" s="30">
        <f>C18*F12</f>
        <v>9375</v>
      </c>
      <c r="F18" s="33"/>
      <c r="G18" s="30">
        <f>C18*G17</f>
        <v>16250</v>
      </c>
    </row>
    <row r="19" spans="1:7" ht="15.75" x14ac:dyDescent="0.25">
      <c r="A19" s="330"/>
      <c r="B19" s="6" t="s">
        <v>14</v>
      </c>
      <c r="C19" s="8">
        <v>1</v>
      </c>
      <c r="D19" t="s">
        <v>161</v>
      </c>
      <c r="E19" s="30">
        <f>C19*F12</f>
        <v>9375</v>
      </c>
      <c r="F19" s="33"/>
      <c r="G19" s="30">
        <f>C19*G17</f>
        <v>16250</v>
      </c>
    </row>
    <row r="20" spans="1:7" ht="15.75" thickBot="1" x14ac:dyDescent="0.3">
      <c r="A20" s="331"/>
      <c r="B20" s="23" t="s">
        <v>165</v>
      </c>
      <c r="C20" s="24">
        <v>0.01</v>
      </c>
      <c r="D20" t="s">
        <v>161</v>
      </c>
      <c r="E20" s="31">
        <f>C20*F12</f>
        <v>93.75</v>
      </c>
      <c r="F20" s="33"/>
      <c r="G20" s="30">
        <f>C20*G17</f>
        <v>162.5</v>
      </c>
    </row>
    <row r="23" spans="1:7" ht="15.75" x14ac:dyDescent="0.25">
      <c r="A23" s="124" t="s">
        <v>233</v>
      </c>
      <c r="B23" s="124" t="s">
        <v>233</v>
      </c>
      <c r="C23" s="125" t="s">
        <v>234</v>
      </c>
      <c r="D23" s="120"/>
    </row>
    <row r="24" spans="1:7" ht="15.75" x14ac:dyDescent="0.25">
      <c r="A24" s="122" t="s">
        <v>235</v>
      </c>
      <c r="B24" s="122" t="s">
        <v>236</v>
      </c>
      <c r="C24" s="123" t="s">
        <v>237</v>
      </c>
      <c r="D24" s="120"/>
    </row>
    <row r="25" spans="1:7" ht="15.75" x14ac:dyDescent="0.25">
      <c r="A25" s="122" t="s">
        <v>238</v>
      </c>
      <c r="B25" s="122" t="s">
        <v>239</v>
      </c>
      <c r="C25" s="123" t="s">
        <v>240</v>
      </c>
      <c r="D25" s="120"/>
    </row>
    <row r="26" spans="1:7" x14ac:dyDescent="0.25">
      <c r="A26" s="121"/>
      <c r="B26" s="121"/>
    </row>
    <row r="27" spans="1:7" x14ac:dyDescent="0.25">
      <c r="A27" s="121"/>
      <c r="B27" s="121"/>
    </row>
    <row r="28" spans="1:7" x14ac:dyDescent="0.25">
      <c r="A28" s="121"/>
      <c r="B28" s="121"/>
    </row>
    <row r="29" spans="1:7" x14ac:dyDescent="0.25">
      <c r="A29" s="121"/>
      <c r="B29" s="121"/>
    </row>
  </sheetData>
  <mergeCells count="1">
    <mergeCell ref="A13:A20"/>
  </mergeCells>
  <pageMargins left="0.7" right="0.7" top="0.75" bottom="0.75" header="0.3" footer="0.3"/>
  <pageSetup paperSize="9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6"/>
  <dimension ref="A1:I33"/>
  <sheetViews>
    <sheetView workbookViewId="0">
      <selection activeCell="J23" sqref="J23"/>
    </sheetView>
  </sheetViews>
  <sheetFormatPr baseColWidth="10" defaultRowHeight="15" x14ac:dyDescent="0.25"/>
  <cols>
    <col min="1" max="1" width="26.28515625" customWidth="1"/>
    <col min="2" max="2" width="28" customWidth="1"/>
    <col min="3" max="3" width="15" customWidth="1"/>
    <col min="4" max="4" width="7.5703125" style="162" customWidth="1"/>
    <col min="5" max="5" width="9.7109375" customWidth="1"/>
    <col min="6" max="6" width="10.85546875" customWidth="1"/>
    <col min="7" max="7" width="9.140625" customWidth="1"/>
    <col min="8" max="8" width="11.42578125" customWidth="1"/>
  </cols>
  <sheetData>
    <row r="1" spans="1:9" x14ac:dyDescent="0.25">
      <c r="A1" t="s">
        <v>431</v>
      </c>
    </row>
    <row r="3" spans="1:9" ht="20.25" x14ac:dyDescent="0.3">
      <c r="A3" s="2"/>
      <c r="B3" s="4" t="s">
        <v>0</v>
      </c>
      <c r="C3" s="2"/>
      <c r="D3" s="2"/>
    </row>
    <row r="4" spans="1:9" ht="15.75" x14ac:dyDescent="0.25">
      <c r="A4" s="2"/>
      <c r="B4" s="2"/>
      <c r="C4" s="2"/>
      <c r="D4" s="2"/>
    </row>
    <row r="5" spans="1:9" ht="20.25" x14ac:dyDescent="0.3">
      <c r="A5" s="1"/>
      <c r="B5" s="4" t="s">
        <v>177</v>
      </c>
      <c r="C5" s="2"/>
      <c r="D5" s="2"/>
      <c r="H5" s="171"/>
    </row>
    <row r="6" spans="1:9" ht="20.25" x14ac:dyDescent="0.3">
      <c r="A6" s="4"/>
      <c r="B6" s="2"/>
      <c r="C6" s="2"/>
      <c r="D6" s="2"/>
    </row>
    <row r="7" spans="1:9" ht="15.75" x14ac:dyDescent="0.25">
      <c r="A7" s="3" t="s">
        <v>1</v>
      </c>
      <c r="B7" s="3" t="s">
        <v>178</v>
      </c>
      <c r="C7" s="5"/>
      <c r="D7" s="5"/>
    </row>
    <row r="8" spans="1:9" ht="15.75" x14ac:dyDescent="0.25">
      <c r="A8" s="3" t="s">
        <v>2</v>
      </c>
      <c r="B8" s="3" t="s">
        <v>3</v>
      </c>
      <c r="C8" s="5"/>
      <c r="D8" s="5"/>
    </row>
    <row r="9" spans="1:9" ht="16.5" thickBot="1" x14ac:dyDescent="0.3">
      <c r="A9" s="3" t="s">
        <v>4</v>
      </c>
      <c r="B9" s="3" t="s">
        <v>163</v>
      </c>
      <c r="C9" s="5"/>
      <c r="D9" s="5"/>
    </row>
    <row r="10" spans="1:9" ht="16.5" thickBot="1" x14ac:dyDescent="0.3">
      <c r="A10" s="3" t="s">
        <v>5</v>
      </c>
      <c r="B10" s="3" t="s">
        <v>31</v>
      </c>
      <c r="C10" s="5"/>
      <c r="D10" s="5"/>
      <c r="F10" s="29" t="s">
        <v>156</v>
      </c>
      <c r="G10" s="28"/>
      <c r="H10" s="48" t="s">
        <v>157</v>
      </c>
    </row>
    <row r="11" spans="1:9" ht="15.75" x14ac:dyDescent="0.25">
      <c r="A11" s="3" t="s">
        <v>6</v>
      </c>
      <c r="B11" s="3" t="s">
        <v>7</v>
      </c>
      <c r="C11" s="5"/>
      <c r="D11" s="5"/>
      <c r="F11" s="12" t="s">
        <v>158</v>
      </c>
      <c r="G11" s="1">
        <v>165</v>
      </c>
      <c r="H11" s="12" t="s">
        <v>158</v>
      </c>
      <c r="I11" s="172">
        <v>286</v>
      </c>
    </row>
    <row r="12" spans="1:9" ht="16.5" thickBot="1" x14ac:dyDescent="0.3">
      <c r="A12" s="3" t="s">
        <v>8</v>
      </c>
      <c r="B12" s="3"/>
      <c r="C12" s="5"/>
      <c r="D12" s="5"/>
      <c r="E12" s="44" t="s">
        <v>274</v>
      </c>
      <c r="F12" s="12" t="s">
        <v>160</v>
      </c>
      <c r="G12" s="47">
        <f>G11/17.6*1000</f>
        <v>9375</v>
      </c>
      <c r="H12" s="98">
        <f>(I11/2.2)/8*1000</f>
        <v>16250</v>
      </c>
    </row>
    <row r="13" spans="1:9" ht="15.75" x14ac:dyDescent="0.25">
      <c r="A13" s="329" t="s">
        <v>9</v>
      </c>
      <c r="B13" s="11" t="s">
        <v>151</v>
      </c>
      <c r="C13" s="7">
        <v>1.2E-2</v>
      </c>
      <c r="D13" t="s">
        <v>190</v>
      </c>
      <c r="E13" s="44" t="s">
        <v>289</v>
      </c>
      <c r="F13" s="30">
        <f>C13*G12</f>
        <v>112.5</v>
      </c>
      <c r="G13" s="32"/>
      <c r="H13" s="30">
        <f>H12*C13</f>
        <v>195</v>
      </c>
    </row>
    <row r="14" spans="1:9" ht="15.75" x14ac:dyDescent="0.25">
      <c r="A14" s="330"/>
      <c r="B14" s="6" t="s">
        <v>164</v>
      </c>
      <c r="C14" s="8">
        <v>5.5999999999999999E-3</v>
      </c>
      <c r="D14" t="s">
        <v>190</v>
      </c>
      <c r="E14" s="44" t="s">
        <v>381</v>
      </c>
      <c r="F14" s="30">
        <f>C14*G12</f>
        <v>52.5</v>
      </c>
      <c r="G14" s="32"/>
      <c r="H14" s="30">
        <f>H12*C14</f>
        <v>91</v>
      </c>
    </row>
    <row r="15" spans="1:9" ht="15.75" x14ac:dyDescent="0.25">
      <c r="A15" s="330"/>
      <c r="B15" s="6" t="s">
        <v>10</v>
      </c>
      <c r="C15" s="8">
        <v>1.4544E-3</v>
      </c>
      <c r="D15" t="s">
        <v>190</v>
      </c>
      <c r="E15" s="44" t="s">
        <v>291</v>
      </c>
      <c r="F15" s="30">
        <f>C15*G12</f>
        <v>13.635</v>
      </c>
      <c r="G15" s="32"/>
      <c r="H15" s="30">
        <f>H12*C15</f>
        <v>23.634</v>
      </c>
    </row>
    <row r="16" spans="1:9" ht="15.75" x14ac:dyDescent="0.25">
      <c r="A16" s="330"/>
      <c r="B16" s="6" t="s">
        <v>11</v>
      </c>
      <c r="C16" s="8">
        <v>1.3247999999999999E-3</v>
      </c>
      <c r="D16" t="s">
        <v>190</v>
      </c>
      <c r="E16" s="44" t="s">
        <v>382</v>
      </c>
      <c r="F16" s="30">
        <f>C16*G12</f>
        <v>12.419999999999998</v>
      </c>
      <c r="G16" s="32"/>
      <c r="H16" s="30">
        <f>H12*C16</f>
        <v>21.527999999999999</v>
      </c>
    </row>
    <row r="17" spans="1:8" ht="15.75" x14ac:dyDescent="0.25">
      <c r="A17" s="330"/>
      <c r="B17" s="6" t="s">
        <v>12</v>
      </c>
      <c r="C17" s="8">
        <v>1</v>
      </c>
      <c r="D17" t="s">
        <v>161</v>
      </c>
      <c r="E17" s="44" t="s">
        <v>383</v>
      </c>
      <c r="F17" s="30">
        <f>C17*G12</f>
        <v>9375</v>
      </c>
      <c r="G17" s="33"/>
      <c r="H17" s="31">
        <f>H12*C17</f>
        <v>16250</v>
      </c>
    </row>
    <row r="18" spans="1:8" ht="15.75" x14ac:dyDescent="0.25">
      <c r="A18" s="330"/>
      <c r="B18" s="6" t="s">
        <v>13</v>
      </c>
      <c r="C18" s="8">
        <v>1</v>
      </c>
      <c r="D18" t="s">
        <v>161</v>
      </c>
      <c r="E18" s="44" t="s">
        <v>384</v>
      </c>
      <c r="F18" s="30">
        <f>C18*G12</f>
        <v>9375</v>
      </c>
      <c r="G18" s="33"/>
      <c r="H18" s="31">
        <f>H12*C18</f>
        <v>16250</v>
      </c>
    </row>
    <row r="19" spans="1:8" ht="15.75" x14ac:dyDescent="0.25">
      <c r="A19" s="330"/>
      <c r="B19" s="6" t="s">
        <v>14</v>
      </c>
      <c r="C19" s="8">
        <v>1</v>
      </c>
      <c r="D19" t="s">
        <v>161</v>
      </c>
      <c r="E19" s="44" t="s">
        <v>276</v>
      </c>
      <c r="F19" s="30">
        <f>C19*G12</f>
        <v>9375</v>
      </c>
      <c r="G19" s="33"/>
      <c r="H19" s="31">
        <f>H12*C19</f>
        <v>16250</v>
      </c>
    </row>
    <row r="20" spans="1:8" ht="15.75" thickBot="1" x14ac:dyDescent="0.3">
      <c r="A20" s="331"/>
      <c r="B20" s="23" t="s">
        <v>165</v>
      </c>
      <c r="C20" s="24">
        <v>0.01</v>
      </c>
      <c r="D20" t="s">
        <v>161</v>
      </c>
      <c r="E20" s="44" t="s">
        <v>306</v>
      </c>
      <c r="F20" s="31">
        <f>C20*G12</f>
        <v>93.75</v>
      </c>
      <c r="G20" s="33"/>
      <c r="H20" s="31">
        <f>H12*C20</f>
        <v>162.5</v>
      </c>
    </row>
    <row r="23" spans="1:8" ht="15.75" x14ac:dyDescent="0.25">
      <c r="A23" s="124" t="s">
        <v>233</v>
      </c>
      <c r="B23" s="124" t="s">
        <v>233</v>
      </c>
      <c r="C23" s="125" t="s">
        <v>234</v>
      </c>
      <c r="D23" s="125"/>
      <c r="E23" s="120"/>
    </row>
    <row r="24" spans="1:8" ht="15.75" x14ac:dyDescent="0.25">
      <c r="A24" s="122" t="s">
        <v>235</v>
      </c>
      <c r="B24" s="122" t="s">
        <v>236</v>
      </c>
      <c r="C24" s="123" t="s">
        <v>237</v>
      </c>
      <c r="D24" s="123"/>
      <c r="E24" s="120"/>
    </row>
    <row r="25" spans="1:8" ht="15.75" x14ac:dyDescent="0.25">
      <c r="A25" s="122" t="s">
        <v>238</v>
      </c>
      <c r="B25" s="122" t="s">
        <v>239</v>
      </c>
      <c r="C25" s="123" t="s">
        <v>240</v>
      </c>
      <c r="D25" s="123"/>
      <c r="E25" s="120"/>
    </row>
    <row r="26" spans="1:8" x14ac:dyDescent="0.25">
      <c r="A26" s="121"/>
      <c r="B26" s="121"/>
    </row>
    <row r="27" spans="1:8" x14ac:dyDescent="0.25">
      <c r="A27" s="121"/>
      <c r="B27" s="121"/>
    </row>
    <row r="28" spans="1:8" x14ac:dyDescent="0.25">
      <c r="A28" s="121"/>
      <c r="B28" s="121"/>
    </row>
    <row r="29" spans="1:8" x14ac:dyDescent="0.25">
      <c r="A29" s="121"/>
      <c r="B29" s="121"/>
    </row>
    <row r="30" spans="1:8" x14ac:dyDescent="0.25">
      <c r="A30" s="121"/>
      <c r="B30" s="121"/>
    </row>
    <row r="31" spans="1:8" x14ac:dyDescent="0.25">
      <c r="A31" s="121"/>
      <c r="B31" s="121"/>
    </row>
    <row r="32" spans="1:8" x14ac:dyDescent="0.25">
      <c r="A32" s="121"/>
      <c r="B32" s="121"/>
    </row>
    <row r="33" spans="1:2" x14ac:dyDescent="0.25">
      <c r="A33" s="87"/>
      <c r="B33" s="87"/>
    </row>
  </sheetData>
  <mergeCells count="1">
    <mergeCell ref="A13:A20"/>
  </mergeCells>
  <pageMargins left="0.7" right="0.7" top="0.75" bottom="0.75" header="0.3" footer="0.3"/>
  <pageSetup paperSize="9"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7"/>
  <dimension ref="A3:H34"/>
  <sheetViews>
    <sheetView workbookViewId="0">
      <selection activeCell="C19" sqref="C19"/>
    </sheetView>
  </sheetViews>
  <sheetFormatPr baseColWidth="10" defaultRowHeight="15" x14ac:dyDescent="0.25"/>
  <cols>
    <col min="1" max="1" width="25.85546875" customWidth="1"/>
    <col min="2" max="2" width="37.28515625" customWidth="1"/>
    <col min="3" max="3" width="14.42578125" customWidth="1"/>
    <col min="4" max="4" width="14.42578125" style="162" customWidth="1"/>
  </cols>
  <sheetData>
    <row r="3" spans="1:8" ht="20.25" x14ac:dyDescent="0.3">
      <c r="A3" s="2"/>
      <c r="B3" s="4" t="s">
        <v>0</v>
      </c>
      <c r="C3" s="2"/>
      <c r="D3" s="2"/>
    </row>
    <row r="4" spans="1:8" ht="15.75" x14ac:dyDescent="0.25">
      <c r="A4" s="2"/>
      <c r="B4" s="2"/>
      <c r="C4" s="2"/>
      <c r="D4" s="2"/>
    </row>
    <row r="5" spans="1:8" ht="20.25" x14ac:dyDescent="0.3">
      <c r="A5" s="1"/>
      <c r="B5" s="4" t="s">
        <v>179</v>
      </c>
      <c r="C5" s="2"/>
      <c r="D5" s="2"/>
    </row>
    <row r="6" spans="1:8" ht="20.25" x14ac:dyDescent="0.3">
      <c r="A6" s="4"/>
      <c r="B6" s="2"/>
      <c r="C6" s="2"/>
      <c r="D6" s="2"/>
    </row>
    <row r="7" spans="1:8" ht="15.75" x14ac:dyDescent="0.25">
      <c r="A7" s="3" t="s">
        <v>103</v>
      </c>
      <c r="B7" s="3" t="s">
        <v>154</v>
      </c>
      <c r="C7" s="5"/>
      <c r="D7" s="5"/>
    </row>
    <row r="8" spans="1:8" ht="15.75" x14ac:dyDescent="0.25">
      <c r="A8" s="3" t="s">
        <v>2</v>
      </c>
      <c r="B8" s="3" t="s">
        <v>54</v>
      </c>
      <c r="C8" s="5"/>
      <c r="D8" s="5"/>
    </row>
    <row r="9" spans="1:8" ht="16.5" thickBot="1" x14ac:dyDescent="0.3">
      <c r="A9" s="3" t="s">
        <v>4</v>
      </c>
      <c r="B9" s="3" t="s">
        <v>105</v>
      </c>
      <c r="C9" s="5"/>
      <c r="D9" s="5"/>
    </row>
    <row r="10" spans="1:8" ht="16.5" thickBot="1" x14ac:dyDescent="0.3">
      <c r="A10" s="3" t="s">
        <v>5</v>
      </c>
      <c r="B10" s="3" t="s">
        <v>40</v>
      </c>
      <c r="C10" s="5"/>
      <c r="D10" s="5"/>
      <c r="F10" s="29" t="s">
        <v>230</v>
      </c>
      <c r="G10" s="28"/>
      <c r="H10" s="48"/>
    </row>
    <row r="11" spans="1:8" ht="15.75" x14ac:dyDescent="0.25">
      <c r="A11" s="3" t="s">
        <v>6</v>
      </c>
      <c r="B11" s="3" t="s">
        <v>81</v>
      </c>
      <c r="C11" s="5"/>
      <c r="D11" s="5"/>
      <c r="F11" s="17" t="s">
        <v>158</v>
      </c>
      <c r="G11" s="1"/>
      <c r="H11" s="12"/>
    </row>
    <row r="12" spans="1:8" ht="15.75" x14ac:dyDescent="0.25">
      <c r="A12" s="3" t="s">
        <v>8</v>
      </c>
      <c r="B12" s="3"/>
      <c r="C12" s="5"/>
      <c r="D12" s="5"/>
      <c r="E12" s="44" t="s">
        <v>274</v>
      </c>
      <c r="F12" s="12" t="s">
        <v>160</v>
      </c>
      <c r="G12" s="47"/>
      <c r="H12" s="90"/>
    </row>
    <row r="13" spans="1:8" ht="15.75" x14ac:dyDescent="0.25">
      <c r="A13" s="332" t="s">
        <v>9</v>
      </c>
      <c r="B13" s="18" t="s">
        <v>180</v>
      </c>
      <c r="C13" s="13" t="s">
        <v>181</v>
      </c>
      <c r="D13" t="s">
        <v>190</v>
      </c>
      <c r="E13" s="44" t="s">
        <v>377</v>
      </c>
      <c r="F13" s="335" t="s">
        <v>232</v>
      </c>
      <c r="G13" s="336"/>
      <c r="H13" s="337"/>
    </row>
    <row r="14" spans="1:8" ht="15.75" x14ac:dyDescent="0.25">
      <c r="A14" s="333"/>
      <c r="B14" s="18" t="s">
        <v>182</v>
      </c>
      <c r="C14" s="13" t="s">
        <v>109</v>
      </c>
      <c r="D14" t="s">
        <v>190</v>
      </c>
      <c r="E14" s="44" t="s">
        <v>372</v>
      </c>
      <c r="F14" s="335"/>
      <c r="G14" s="336"/>
      <c r="H14" s="337"/>
    </row>
    <row r="15" spans="1:8" ht="15.75" x14ac:dyDescent="0.25">
      <c r="A15" s="333"/>
      <c r="B15" s="18" t="s">
        <v>48</v>
      </c>
      <c r="C15" s="13" t="s">
        <v>110</v>
      </c>
      <c r="D15" t="s">
        <v>190</v>
      </c>
      <c r="E15" s="44" t="s">
        <v>378</v>
      </c>
      <c r="F15" s="335"/>
      <c r="G15" s="336"/>
      <c r="H15" s="337"/>
    </row>
    <row r="16" spans="1:8" ht="15.75" x14ac:dyDescent="0.25">
      <c r="A16" s="333"/>
      <c r="B16" s="18" t="s">
        <v>12</v>
      </c>
      <c r="C16" s="13">
        <v>1</v>
      </c>
      <c r="D16" t="s">
        <v>161</v>
      </c>
      <c r="E16" s="44" t="s">
        <v>379</v>
      </c>
      <c r="F16" s="335"/>
      <c r="G16" s="336"/>
      <c r="H16" s="337"/>
    </row>
    <row r="17" spans="1:8" ht="15.75" x14ac:dyDescent="0.25">
      <c r="A17" s="333"/>
      <c r="B17" s="18" t="s">
        <v>13</v>
      </c>
      <c r="C17" s="13">
        <v>1</v>
      </c>
      <c r="D17" t="s">
        <v>161</v>
      </c>
      <c r="E17" s="44" t="s">
        <v>375</v>
      </c>
      <c r="F17" s="335"/>
      <c r="G17" s="336"/>
      <c r="H17" s="337"/>
    </row>
    <row r="18" spans="1:8" ht="15.75" x14ac:dyDescent="0.25">
      <c r="A18" s="333"/>
      <c r="B18" s="18" t="s">
        <v>14</v>
      </c>
      <c r="C18" s="13">
        <v>1</v>
      </c>
      <c r="D18" t="s">
        <v>161</v>
      </c>
      <c r="E18" s="44" t="s">
        <v>276</v>
      </c>
      <c r="F18" s="335"/>
      <c r="G18" s="336"/>
      <c r="H18" s="337"/>
    </row>
    <row r="19" spans="1:8" ht="15.75" x14ac:dyDescent="0.25">
      <c r="A19" s="334"/>
      <c r="B19" s="21" t="s">
        <v>111</v>
      </c>
      <c r="C19" s="14" t="s">
        <v>50</v>
      </c>
      <c r="D19" t="s">
        <v>161</v>
      </c>
      <c r="E19" s="44" t="s">
        <v>380</v>
      </c>
      <c r="F19" s="335"/>
      <c r="G19" s="336"/>
      <c r="H19" s="337"/>
    </row>
    <row r="20" spans="1:8" x14ac:dyDescent="0.25">
      <c r="F20" s="338"/>
      <c r="G20" s="339"/>
      <c r="H20" s="340"/>
    </row>
    <row r="22" spans="1:8" x14ac:dyDescent="0.25">
      <c r="A22" s="12" t="s">
        <v>58</v>
      </c>
      <c r="B22" s="12"/>
      <c r="C22" s="1"/>
      <c r="D22" s="1"/>
    </row>
    <row r="23" spans="1:8" x14ac:dyDescent="0.25">
      <c r="A23" s="12" t="s">
        <v>59</v>
      </c>
      <c r="B23" s="12"/>
      <c r="C23" s="1"/>
      <c r="D23" s="1"/>
    </row>
    <row r="24" spans="1:8" x14ac:dyDescent="0.25">
      <c r="A24" s="12" t="s">
        <v>60</v>
      </c>
      <c r="B24" s="12"/>
      <c r="C24" s="1"/>
      <c r="D24" s="1"/>
      <c r="F24" s="97"/>
    </row>
    <row r="25" spans="1:8" x14ac:dyDescent="0.25">
      <c r="A25" s="12" t="s">
        <v>61</v>
      </c>
      <c r="B25" s="12"/>
      <c r="C25" s="1"/>
      <c r="D25" s="1"/>
    </row>
    <row r="26" spans="1:8" x14ac:dyDescent="0.25">
      <c r="A26" s="12" t="s">
        <v>62</v>
      </c>
      <c r="B26" s="12"/>
      <c r="C26" s="1"/>
      <c r="D26" s="1"/>
    </row>
    <row r="27" spans="1:8" x14ac:dyDescent="0.25">
      <c r="A27" s="12" t="s">
        <v>63</v>
      </c>
      <c r="B27" s="12"/>
      <c r="C27" s="1"/>
      <c r="D27" s="1"/>
    </row>
    <row r="28" spans="1:8" x14ac:dyDescent="0.25">
      <c r="A28" s="17" t="s">
        <v>64</v>
      </c>
      <c r="B28" s="12"/>
      <c r="C28" s="1"/>
      <c r="D28" s="1"/>
    </row>
    <row r="30" spans="1:8" ht="15.75" x14ac:dyDescent="0.25">
      <c r="A30" s="124" t="s">
        <v>233</v>
      </c>
      <c r="B30" s="124" t="s">
        <v>233</v>
      </c>
      <c r="C30" s="125" t="s">
        <v>234</v>
      </c>
      <c r="D30" s="125"/>
    </row>
    <row r="31" spans="1:8" ht="15.75" x14ac:dyDescent="0.25">
      <c r="A31" s="122" t="s">
        <v>235</v>
      </c>
      <c r="B31" s="122" t="s">
        <v>236</v>
      </c>
      <c r="C31" s="123" t="s">
        <v>237</v>
      </c>
      <c r="D31" s="123"/>
    </row>
    <row r="32" spans="1:8" ht="15.75" x14ac:dyDescent="0.25">
      <c r="A32" s="122" t="s">
        <v>238</v>
      </c>
      <c r="B32" s="122" t="s">
        <v>239</v>
      </c>
      <c r="C32" s="123" t="s">
        <v>240</v>
      </c>
      <c r="D32" s="123"/>
    </row>
    <row r="33" spans="1:2" x14ac:dyDescent="0.25">
      <c r="A33" s="121"/>
      <c r="B33" s="121"/>
    </row>
    <row r="34" spans="1:2" x14ac:dyDescent="0.25">
      <c r="A34" s="121"/>
      <c r="B34" s="121"/>
    </row>
  </sheetData>
  <mergeCells count="2">
    <mergeCell ref="A13:A19"/>
    <mergeCell ref="F13:H20"/>
  </mergeCells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8"/>
  <dimension ref="A3:I34"/>
  <sheetViews>
    <sheetView workbookViewId="0">
      <selection activeCell="F13" sqref="F13"/>
    </sheetView>
  </sheetViews>
  <sheetFormatPr baseColWidth="10" defaultRowHeight="15" x14ac:dyDescent="0.25"/>
  <cols>
    <col min="1" max="1" width="26.7109375" customWidth="1"/>
    <col min="2" max="2" width="38.85546875" customWidth="1"/>
    <col min="3" max="3" width="12.85546875" customWidth="1"/>
    <col min="4" max="4" width="12.85546875" style="162" customWidth="1"/>
    <col min="5" max="5" width="11.85546875" customWidth="1"/>
    <col min="6" max="6" width="10.7109375" customWidth="1"/>
  </cols>
  <sheetData>
    <row r="3" spans="1:9" ht="20.25" x14ac:dyDescent="0.3">
      <c r="A3" s="2"/>
      <c r="B3" s="4" t="s">
        <v>0</v>
      </c>
      <c r="C3" s="2"/>
      <c r="D3" s="2"/>
    </row>
    <row r="4" spans="1:9" ht="15.75" x14ac:dyDescent="0.25">
      <c r="A4" s="2"/>
      <c r="B4" s="2"/>
      <c r="C4" s="2"/>
      <c r="D4" s="2"/>
    </row>
    <row r="5" spans="1:9" ht="20.25" x14ac:dyDescent="0.3">
      <c r="A5" s="1"/>
      <c r="B5" s="4" t="s">
        <v>183</v>
      </c>
      <c r="C5" s="2"/>
      <c r="D5" s="2"/>
      <c r="I5" s="171" t="s">
        <v>297</v>
      </c>
    </row>
    <row r="6" spans="1:9" ht="20.25" x14ac:dyDescent="0.3">
      <c r="A6" s="4"/>
      <c r="B6" s="2"/>
      <c r="C6" s="2"/>
      <c r="D6" s="2"/>
    </row>
    <row r="7" spans="1:9" ht="15.75" x14ac:dyDescent="0.25">
      <c r="A7" s="3" t="s">
        <v>103</v>
      </c>
      <c r="B7" s="3" t="s">
        <v>184</v>
      </c>
      <c r="C7" s="5"/>
      <c r="D7" s="5"/>
    </row>
    <row r="8" spans="1:9" ht="15.75" x14ac:dyDescent="0.25">
      <c r="A8" s="3" t="s">
        <v>2</v>
      </c>
      <c r="B8" s="3" t="s">
        <v>54</v>
      </c>
      <c r="C8" s="5"/>
      <c r="D8" s="5"/>
    </row>
    <row r="9" spans="1:9" ht="15.75" x14ac:dyDescent="0.25">
      <c r="A9" s="3" t="s">
        <v>4</v>
      </c>
      <c r="B9" s="3" t="s">
        <v>185</v>
      </c>
      <c r="C9" s="5"/>
      <c r="D9" s="5"/>
    </row>
    <row r="10" spans="1:9" ht="15.75" x14ac:dyDescent="0.25">
      <c r="A10" s="3" t="s">
        <v>5</v>
      </c>
      <c r="B10" s="3" t="s">
        <v>40</v>
      </c>
      <c r="C10" s="5"/>
      <c r="D10" s="5"/>
      <c r="F10" s="365" t="s">
        <v>230</v>
      </c>
      <c r="G10" s="365"/>
      <c r="H10" s="365"/>
      <c r="I10" s="365"/>
    </row>
    <row r="11" spans="1:9" ht="15.75" x14ac:dyDescent="0.25">
      <c r="A11" s="3" t="s">
        <v>6</v>
      </c>
      <c r="B11" s="3" t="s">
        <v>81</v>
      </c>
      <c r="C11" s="5"/>
      <c r="D11" s="5"/>
      <c r="F11" s="55" t="s">
        <v>158</v>
      </c>
      <c r="G11" s="1">
        <v>2000</v>
      </c>
      <c r="H11" s="1">
        <v>1000</v>
      </c>
      <c r="I11" s="1">
        <v>3000</v>
      </c>
    </row>
    <row r="12" spans="1:9" ht="15.75" x14ac:dyDescent="0.25">
      <c r="A12" s="3" t="s">
        <v>8</v>
      </c>
      <c r="B12" s="3"/>
      <c r="C12" s="5"/>
      <c r="D12" s="5"/>
      <c r="E12" s="44" t="s">
        <v>313</v>
      </c>
      <c r="F12" s="12" t="s">
        <v>160</v>
      </c>
      <c r="G12" s="47">
        <f>G11/11.1111*1000</f>
        <v>180000.18000018</v>
      </c>
      <c r="H12" s="47">
        <f>H11/11.1111*1000</f>
        <v>90000.09000009</v>
      </c>
      <c r="I12" s="47">
        <f>I11/11.1111*1000</f>
        <v>270000.27000026999</v>
      </c>
    </row>
    <row r="13" spans="1:9" ht="15.75" x14ac:dyDescent="0.25">
      <c r="A13" s="332" t="s">
        <v>9</v>
      </c>
      <c r="B13" s="18" t="s">
        <v>180</v>
      </c>
      <c r="C13" s="13">
        <v>1.112E-2</v>
      </c>
      <c r="D13" s="162" t="s">
        <v>190</v>
      </c>
      <c r="E13" s="44" t="s">
        <v>376</v>
      </c>
      <c r="F13" s="30">
        <f>C13*G12</f>
        <v>2001.6020016020016</v>
      </c>
      <c r="G13" s="32"/>
      <c r="H13" s="30">
        <f>H12*C13</f>
        <v>1000.8010008010008</v>
      </c>
      <c r="I13" s="44">
        <f>I12*C13</f>
        <v>3002.4030024030021</v>
      </c>
    </row>
    <row r="14" spans="1:9" ht="15.75" x14ac:dyDescent="0.25">
      <c r="A14" s="333"/>
      <c r="B14" s="18" t="s">
        <v>182</v>
      </c>
      <c r="C14" s="13">
        <v>3.4120000000000001E-3</v>
      </c>
      <c r="D14" s="162" t="s">
        <v>190</v>
      </c>
      <c r="E14" s="44" t="s">
        <v>372</v>
      </c>
      <c r="F14" s="30">
        <f>C14*G12</f>
        <v>614.16061416061416</v>
      </c>
      <c r="G14" s="32"/>
      <c r="H14" s="30">
        <f>H12*C14</f>
        <v>307.08030708030708</v>
      </c>
      <c r="I14" s="173">
        <f>I12*C14</f>
        <v>921.24092124092124</v>
      </c>
    </row>
    <row r="15" spans="1:9" ht="15.75" x14ac:dyDescent="0.25">
      <c r="A15" s="333"/>
      <c r="B15" s="18" t="s">
        <v>48</v>
      </c>
      <c r="C15" s="13">
        <v>9.5600000000000004E-4</v>
      </c>
      <c r="D15" s="162" t="s">
        <v>190</v>
      </c>
      <c r="E15" s="44" t="s">
        <v>373</v>
      </c>
      <c r="F15" s="30">
        <f>C15*G12</f>
        <v>172.08017208017208</v>
      </c>
      <c r="G15" s="32"/>
      <c r="H15" s="30">
        <f>H12*C15</f>
        <v>86.040086040086038</v>
      </c>
      <c r="I15" s="173">
        <f>I12*C15</f>
        <v>258.12025812025814</v>
      </c>
    </row>
    <row r="16" spans="1:9" ht="15.75" x14ac:dyDescent="0.25">
      <c r="A16" s="333"/>
      <c r="B16" s="18" t="s">
        <v>12</v>
      </c>
      <c r="C16" s="13">
        <v>1</v>
      </c>
      <c r="D16" s="162" t="s">
        <v>161</v>
      </c>
      <c r="E16" s="44" t="s">
        <v>374</v>
      </c>
      <c r="F16" s="31">
        <f>C16*G12</f>
        <v>180000.18000018</v>
      </c>
      <c r="G16" s="32"/>
      <c r="H16" s="31">
        <f>H12*C16</f>
        <v>90000.09000009</v>
      </c>
      <c r="I16" s="84">
        <f>I12*C16</f>
        <v>270000.27000026999</v>
      </c>
    </row>
    <row r="17" spans="1:9" ht="15.75" x14ac:dyDescent="0.25">
      <c r="A17" s="333"/>
      <c r="B17" s="18" t="s">
        <v>13</v>
      </c>
      <c r="C17" s="13">
        <v>1</v>
      </c>
      <c r="D17" s="162" t="s">
        <v>161</v>
      </c>
      <c r="E17" s="44" t="s">
        <v>375</v>
      </c>
      <c r="F17" s="31">
        <f>C17*G12</f>
        <v>180000.18000018</v>
      </c>
      <c r="G17" s="33"/>
      <c r="H17" s="31">
        <f>H12/C17</f>
        <v>90000.09000009</v>
      </c>
      <c r="I17" s="84">
        <f>I12*C17</f>
        <v>270000.27000026999</v>
      </c>
    </row>
    <row r="18" spans="1:9" ht="15.75" x14ac:dyDescent="0.25">
      <c r="A18" s="333"/>
      <c r="B18" s="18" t="s">
        <v>14</v>
      </c>
      <c r="C18" s="13">
        <v>1</v>
      </c>
      <c r="D18" s="162" t="s">
        <v>161</v>
      </c>
      <c r="E18" s="44" t="s">
        <v>276</v>
      </c>
      <c r="F18" s="31">
        <f>C18*G12</f>
        <v>180000.18000018</v>
      </c>
      <c r="G18" s="33"/>
      <c r="H18" s="31">
        <f>H12*C18</f>
        <v>90000.09000009</v>
      </c>
      <c r="I18" s="84">
        <f>I12*C18</f>
        <v>270000.27000026999</v>
      </c>
    </row>
    <row r="19" spans="1:9" ht="15.75" x14ac:dyDescent="0.25">
      <c r="A19" s="334"/>
      <c r="B19" s="21" t="s">
        <v>49</v>
      </c>
      <c r="C19" s="14">
        <v>5.0000000000000001E-3</v>
      </c>
      <c r="D19" s="162" t="s">
        <v>161</v>
      </c>
      <c r="E19" s="44" t="s">
        <v>349</v>
      </c>
      <c r="F19" s="30">
        <f>C19*G12</f>
        <v>900.00090000090006</v>
      </c>
      <c r="G19" s="33"/>
      <c r="H19" s="30">
        <f>H12*C19</f>
        <v>450.00045000045003</v>
      </c>
      <c r="I19" s="173">
        <f>I12*C19</f>
        <v>1350.0013500013499</v>
      </c>
    </row>
    <row r="20" spans="1:9" x14ac:dyDescent="0.25">
      <c r="A20" s="12" t="s">
        <v>58</v>
      </c>
      <c r="B20" s="12"/>
      <c r="C20" s="1"/>
      <c r="D20" s="1"/>
    </row>
    <row r="21" spans="1:9" x14ac:dyDescent="0.25">
      <c r="A21" s="12" t="s">
        <v>59</v>
      </c>
      <c r="B21" s="12"/>
      <c r="C21" s="1"/>
      <c r="D21" s="1"/>
    </row>
    <row r="22" spans="1:9" x14ac:dyDescent="0.25">
      <c r="A22" s="12" t="s">
        <v>60</v>
      </c>
      <c r="B22" s="12"/>
      <c r="C22" s="1"/>
      <c r="D22" s="1"/>
    </row>
    <row r="23" spans="1:9" x14ac:dyDescent="0.25">
      <c r="A23" s="12" t="s">
        <v>61</v>
      </c>
      <c r="B23" s="12"/>
      <c r="C23" s="1"/>
      <c r="D23" s="1"/>
    </row>
    <row r="24" spans="1:9" x14ac:dyDescent="0.25">
      <c r="A24" s="12" t="s">
        <v>62</v>
      </c>
      <c r="B24" s="12"/>
      <c r="C24" s="1"/>
      <c r="D24" s="1"/>
    </row>
    <row r="25" spans="1:9" x14ac:dyDescent="0.25">
      <c r="A25" s="12" t="s">
        <v>63</v>
      </c>
      <c r="B25" s="12"/>
      <c r="C25" s="1"/>
      <c r="D25" s="1"/>
    </row>
    <row r="26" spans="1:9" x14ac:dyDescent="0.25">
      <c r="A26" s="17" t="s">
        <v>64</v>
      </c>
      <c r="B26" s="12"/>
      <c r="C26" s="1"/>
      <c r="D26" s="1"/>
    </row>
    <row r="28" spans="1:9" ht="15.75" x14ac:dyDescent="0.25">
      <c r="A28" s="124" t="s">
        <v>233</v>
      </c>
      <c r="B28" s="124" t="s">
        <v>233</v>
      </c>
      <c r="C28" s="125" t="s">
        <v>234</v>
      </c>
      <c r="D28" s="125"/>
    </row>
    <row r="29" spans="1:9" ht="15.75" x14ac:dyDescent="0.25">
      <c r="A29" s="122" t="s">
        <v>235</v>
      </c>
      <c r="B29" s="122" t="s">
        <v>236</v>
      </c>
      <c r="C29" s="123" t="s">
        <v>237</v>
      </c>
      <c r="D29" s="123"/>
    </row>
    <row r="30" spans="1:9" ht="15.75" x14ac:dyDescent="0.25">
      <c r="A30" s="122" t="s">
        <v>238</v>
      </c>
      <c r="B30" s="122" t="s">
        <v>239</v>
      </c>
      <c r="C30" s="123" t="s">
        <v>240</v>
      </c>
      <c r="D30" s="123"/>
    </row>
    <row r="31" spans="1:9" x14ac:dyDescent="0.25">
      <c r="A31" s="121"/>
      <c r="B31" s="121"/>
    </row>
    <row r="32" spans="1:9" x14ac:dyDescent="0.25">
      <c r="A32" s="121"/>
      <c r="B32" s="121"/>
    </row>
    <row r="33" spans="1:2" x14ac:dyDescent="0.25">
      <c r="A33" s="121"/>
      <c r="B33" s="121"/>
    </row>
    <row r="34" spans="1:2" x14ac:dyDescent="0.25">
      <c r="A34" s="121"/>
      <c r="B34" s="121"/>
    </row>
  </sheetData>
  <mergeCells count="2">
    <mergeCell ref="A13:A19"/>
    <mergeCell ref="F10:I10"/>
  </mergeCells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9"/>
  <dimension ref="A3:I34"/>
  <sheetViews>
    <sheetView topLeftCell="A4" workbookViewId="0">
      <selection activeCell="B19" sqref="B19"/>
    </sheetView>
  </sheetViews>
  <sheetFormatPr baseColWidth="10" defaultRowHeight="15" x14ac:dyDescent="0.25"/>
  <cols>
    <col min="1" max="1" width="26.7109375" style="162" customWidth="1"/>
    <col min="2" max="2" width="30.42578125" style="162" customWidth="1"/>
    <col min="3" max="3" width="12.85546875" style="162" customWidth="1"/>
    <col min="4" max="4" width="2.7109375" style="162" customWidth="1"/>
    <col min="5" max="5" width="11.85546875" style="162" customWidth="1"/>
    <col min="6" max="6" width="10.7109375" style="162" customWidth="1"/>
    <col min="7" max="16384" width="11.42578125" style="162"/>
  </cols>
  <sheetData>
    <row r="3" spans="1:9" ht="20.25" x14ac:dyDescent="0.3">
      <c r="A3" s="2"/>
      <c r="B3" s="4" t="s">
        <v>0</v>
      </c>
      <c r="C3" s="2"/>
      <c r="D3" s="2"/>
    </row>
    <row r="4" spans="1:9" ht="15.75" x14ac:dyDescent="0.25">
      <c r="A4" s="2"/>
      <c r="B4" s="2"/>
      <c r="C4" s="2"/>
      <c r="D4" s="2"/>
    </row>
    <row r="5" spans="1:9" ht="20.25" x14ac:dyDescent="0.3">
      <c r="A5" s="1"/>
      <c r="B5" s="4" t="s">
        <v>435</v>
      </c>
      <c r="C5" s="2"/>
      <c r="D5" s="2"/>
      <c r="I5" s="171" t="s">
        <v>437</v>
      </c>
    </row>
    <row r="6" spans="1:9" ht="20.25" x14ac:dyDescent="0.3">
      <c r="A6" s="4"/>
      <c r="B6" s="2"/>
      <c r="C6" s="2"/>
      <c r="D6" s="2"/>
    </row>
    <row r="7" spans="1:9" ht="15.75" x14ac:dyDescent="0.25">
      <c r="A7" s="3" t="s">
        <v>103</v>
      </c>
      <c r="B7" s="3" t="s">
        <v>184</v>
      </c>
      <c r="C7" s="5"/>
      <c r="D7" s="5"/>
    </row>
    <row r="8" spans="1:9" ht="15.75" x14ac:dyDescent="0.25">
      <c r="A8" s="3" t="s">
        <v>2</v>
      </c>
      <c r="B8" s="3" t="s">
        <v>54</v>
      </c>
      <c r="C8" s="5"/>
      <c r="D8" s="5"/>
    </row>
    <row r="9" spans="1:9" ht="15.75" x14ac:dyDescent="0.25">
      <c r="A9" s="3" t="s">
        <v>4</v>
      </c>
      <c r="B9" s="3" t="s">
        <v>436</v>
      </c>
      <c r="C9" s="5"/>
      <c r="D9" s="5"/>
    </row>
    <row r="10" spans="1:9" ht="15.75" x14ac:dyDescent="0.25">
      <c r="A10" s="3" t="s">
        <v>5</v>
      </c>
      <c r="B10" s="184" t="s">
        <v>67</v>
      </c>
      <c r="C10" s="5"/>
      <c r="D10" s="5"/>
      <c r="F10" s="365" t="s">
        <v>230</v>
      </c>
      <c r="G10" s="365"/>
      <c r="H10" s="365"/>
      <c r="I10" s="365"/>
    </row>
    <row r="11" spans="1:9" ht="15.75" x14ac:dyDescent="0.25">
      <c r="A11" s="3" t="s">
        <v>6</v>
      </c>
      <c r="B11" s="3" t="s">
        <v>81</v>
      </c>
      <c r="C11" s="5"/>
      <c r="D11" s="5"/>
      <c r="F11" s="55" t="s">
        <v>158</v>
      </c>
      <c r="G11" s="1">
        <v>2000</v>
      </c>
      <c r="H11" s="1">
        <v>1000</v>
      </c>
      <c r="I11" s="1">
        <v>3000</v>
      </c>
    </row>
    <row r="12" spans="1:9" ht="15.75" x14ac:dyDescent="0.25">
      <c r="A12" s="3" t="s">
        <v>8</v>
      </c>
      <c r="B12" s="3"/>
      <c r="C12" s="5"/>
      <c r="D12" s="5"/>
      <c r="E12" s="44" t="s">
        <v>313</v>
      </c>
      <c r="F12" s="12" t="s">
        <v>160</v>
      </c>
      <c r="G12" s="185">
        <f>G11/1.1111111111*1000/25</f>
        <v>72000.00000072</v>
      </c>
      <c r="H12" s="185">
        <f>H11/1.111111*1000/25</f>
        <v>36000.00360000036</v>
      </c>
      <c r="I12" s="185">
        <f>I11/1.111111*1000/25</f>
        <v>108000.0108000011</v>
      </c>
    </row>
    <row r="13" spans="1:9" ht="15.75" x14ac:dyDescent="0.25">
      <c r="A13" s="332" t="s">
        <v>9</v>
      </c>
      <c r="B13" s="18" t="s">
        <v>180</v>
      </c>
      <c r="C13" s="13">
        <f>0.0111111111111111/10*25</f>
        <v>2.7777777777777752E-2</v>
      </c>
      <c r="D13" s="162" t="s">
        <v>190</v>
      </c>
      <c r="E13" s="44" t="s">
        <v>376</v>
      </c>
      <c r="F13" s="186">
        <f>C13*G12</f>
        <v>2000.0000000199982</v>
      </c>
      <c r="G13" s="32"/>
      <c r="H13" s="186">
        <f>H12*C13</f>
        <v>1000.0001000000091</v>
      </c>
      <c r="I13" s="187">
        <f>I12*C13</f>
        <v>3000.0003000000274</v>
      </c>
    </row>
    <row r="14" spans="1:9" ht="15.75" x14ac:dyDescent="0.25">
      <c r="A14" s="333"/>
      <c r="B14" s="18" t="s">
        <v>182</v>
      </c>
      <c r="C14" s="13">
        <f>0.003412/2*5</f>
        <v>8.5299999999999994E-3</v>
      </c>
      <c r="D14" s="162" t="s">
        <v>190</v>
      </c>
      <c r="E14" s="44" t="s">
        <v>372</v>
      </c>
      <c r="F14" s="30">
        <f>C14*G12</f>
        <v>614.16000000614156</v>
      </c>
      <c r="G14" s="32"/>
      <c r="H14" s="30">
        <f>H12*C14</f>
        <v>307.08003070800305</v>
      </c>
      <c r="I14" s="173">
        <f>I12*C14</f>
        <v>921.24009212400927</v>
      </c>
    </row>
    <row r="15" spans="1:9" ht="15.75" x14ac:dyDescent="0.25">
      <c r="A15" s="333"/>
      <c r="B15" s="18" t="s">
        <v>48</v>
      </c>
      <c r="C15" s="13">
        <f>0.000956/2*5</f>
        <v>2.3900000000000002E-3</v>
      </c>
      <c r="D15" s="162" t="s">
        <v>190</v>
      </c>
      <c r="E15" s="44" t="s">
        <v>373</v>
      </c>
      <c r="F15" s="30">
        <f>C15*G12</f>
        <v>172.0800000017208</v>
      </c>
      <c r="G15" s="32"/>
      <c r="H15" s="30">
        <f>H12*C15</f>
        <v>86.040008604000874</v>
      </c>
      <c r="I15" s="173">
        <f>I12*C15</f>
        <v>258.12002581200267</v>
      </c>
    </row>
    <row r="16" spans="1:9" ht="15.75" x14ac:dyDescent="0.25">
      <c r="A16" s="333"/>
      <c r="B16" s="18" t="s">
        <v>12</v>
      </c>
      <c r="C16" s="13">
        <v>1</v>
      </c>
      <c r="D16" s="162" t="s">
        <v>161</v>
      </c>
      <c r="E16" s="44"/>
      <c r="F16" s="31">
        <f>C16*G12</f>
        <v>72000.00000072</v>
      </c>
      <c r="G16" s="32"/>
      <c r="H16" s="31">
        <f>H12*C16</f>
        <v>36000.00360000036</v>
      </c>
      <c r="I16" s="84">
        <f>I12*C16</f>
        <v>108000.0108000011</v>
      </c>
    </row>
    <row r="17" spans="1:9" ht="15.75" x14ac:dyDescent="0.25">
      <c r="A17" s="333"/>
      <c r="B17" s="18" t="s">
        <v>13</v>
      </c>
      <c r="C17" s="13">
        <v>1</v>
      </c>
      <c r="D17" s="162" t="s">
        <v>161</v>
      </c>
      <c r="E17" s="44" t="s">
        <v>375</v>
      </c>
      <c r="F17" s="31">
        <f>C17*G12</f>
        <v>72000.00000072</v>
      </c>
      <c r="G17" s="33"/>
      <c r="H17" s="31">
        <f>H12/C17</f>
        <v>36000.00360000036</v>
      </c>
      <c r="I17" s="84">
        <f>I12*C17</f>
        <v>108000.0108000011</v>
      </c>
    </row>
    <row r="18" spans="1:9" ht="15.75" x14ac:dyDescent="0.25">
      <c r="A18" s="333"/>
      <c r="B18" s="18" t="s">
        <v>14</v>
      </c>
      <c r="C18" s="13">
        <v>1</v>
      </c>
      <c r="D18" s="162" t="s">
        <v>161</v>
      </c>
      <c r="E18" s="44" t="s">
        <v>276</v>
      </c>
      <c r="F18" s="31">
        <f>C18*G12</f>
        <v>72000.00000072</v>
      </c>
      <c r="G18" s="33"/>
      <c r="H18" s="31">
        <f>H12*C18</f>
        <v>36000.00360000036</v>
      </c>
      <c r="I18" s="84">
        <f>I12*C18</f>
        <v>108000.0108000011</v>
      </c>
    </row>
    <row r="19" spans="1:9" ht="15.75" x14ac:dyDescent="0.25">
      <c r="A19" s="334"/>
      <c r="B19" s="21" t="s">
        <v>49</v>
      </c>
      <c r="C19" s="14">
        <f>0.005*2</f>
        <v>0.01</v>
      </c>
      <c r="D19" s="162" t="s">
        <v>161</v>
      </c>
      <c r="E19" s="44" t="s">
        <v>349</v>
      </c>
      <c r="F19" s="30">
        <f>C19*G12</f>
        <v>720.00000000720001</v>
      </c>
      <c r="G19" s="33"/>
      <c r="H19" s="30">
        <f>H12*C19</f>
        <v>360.0000360000036</v>
      </c>
      <c r="I19" s="173">
        <f>I12*C19</f>
        <v>1080.0001080000109</v>
      </c>
    </row>
    <row r="20" spans="1:9" x14ac:dyDescent="0.25">
      <c r="A20" s="12" t="s">
        <v>58</v>
      </c>
      <c r="B20" s="12"/>
      <c r="C20" s="1"/>
      <c r="D20" s="1"/>
    </row>
    <row r="21" spans="1:9" x14ac:dyDescent="0.25">
      <c r="A21" s="12" t="s">
        <v>59</v>
      </c>
      <c r="B21" s="12"/>
      <c r="C21" s="1"/>
      <c r="D21" s="1"/>
    </row>
    <row r="22" spans="1:9" x14ac:dyDescent="0.25">
      <c r="A22" s="12" t="s">
        <v>60</v>
      </c>
      <c r="B22" s="12"/>
      <c r="C22" s="1"/>
      <c r="D22" s="1"/>
    </row>
    <row r="23" spans="1:9" x14ac:dyDescent="0.25">
      <c r="A23" s="12" t="s">
        <v>61</v>
      </c>
      <c r="B23" s="12"/>
      <c r="C23" s="1"/>
      <c r="D23" s="1"/>
    </row>
    <row r="24" spans="1:9" x14ac:dyDescent="0.25">
      <c r="A24" s="12" t="s">
        <v>62</v>
      </c>
      <c r="B24" s="12"/>
      <c r="C24" s="1"/>
      <c r="D24" s="1"/>
    </row>
    <row r="25" spans="1:9" x14ac:dyDescent="0.25">
      <c r="A25" s="12" t="s">
        <v>63</v>
      </c>
      <c r="B25" s="12"/>
      <c r="C25" s="1"/>
      <c r="D25" s="1"/>
    </row>
    <row r="26" spans="1:9" x14ac:dyDescent="0.25">
      <c r="A26" s="17" t="s">
        <v>64</v>
      </c>
      <c r="B26" s="12"/>
      <c r="C26" s="1"/>
      <c r="D26" s="1"/>
    </row>
    <row r="28" spans="1:9" ht="15.75" x14ac:dyDescent="0.25">
      <c r="A28" s="124" t="s">
        <v>233</v>
      </c>
      <c r="B28" s="124" t="s">
        <v>233</v>
      </c>
      <c r="C28" s="125" t="s">
        <v>234</v>
      </c>
      <c r="D28" s="125"/>
    </row>
    <row r="29" spans="1:9" ht="15.75" x14ac:dyDescent="0.25">
      <c r="A29" s="122" t="s">
        <v>235</v>
      </c>
      <c r="B29" s="122" t="s">
        <v>236</v>
      </c>
      <c r="C29" s="123" t="s">
        <v>237</v>
      </c>
      <c r="D29" s="123"/>
    </row>
    <row r="30" spans="1:9" ht="15.75" x14ac:dyDescent="0.25">
      <c r="A30" s="122" t="s">
        <v>238</v>
      </c>
      <c r="B30" s="122" t="s">
        <v>239</v>
      </c>
      <c r="C30" s="123" t="s">
        <v>240</v>
      </c>
      <c r="D30" s="123"/>
    </row>
    <row r="31" spans="1:9" x14ac:dyDescent="0.25">
      <c r="A31" s="121"/>
      <c r="B31" s="121"/>
    </row>
    <row r="32" spans="1:9" x14ac:dyDescent="0.25">
      <c r="A32" s="121"/>
      <c r="B32" s="121"/>
    </row>
    <row r="33" spans="1:2" x14ac:dyDescent="0.25">
      <c r="A33" s="121"/>
      <c r="B33" s="121"/>
    </row>
    <row r="34" spans="1:2" x14ac:dyDescent="0.25">
      <c r="A34" s="121"/>
      <c r="B34" s="121"/>
    </row>
  </sheetData>
  <mergeCells count="2">
    <mergeCell ref="F10:I10"/>
    <mergeCell ref="A13:A19"/>
  </mergeCells>
  <pageMargins left="0.7" right="0.7" top="0.75" bottom="0.75" header="0.3" footer="0.3"/>
  <pageSetup paperSize="9" orientation="landscape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0"/>
  <dimension ref="A1:G27"/>
  <sheetViews>
    <sheetView workbookViewId="0">
      <selection activeCell="M36" sqref="M36"/>
    </sheetView>
  </sheetViews>
  <sheetFormatPr baseColWidth="10" defaultRowHeight="16.5" x14ac:dyDescent="0.25"/>
  <cols>
    <col min="1" max="1" width="29.28515625" style="239" customWidth="1"/>
    <col min="2" max="2" width="37.5703125" style="239" customWidth="1"/>
    <col min="3" max="3" width="11.42578125" style="253" customWidth="1"/>
    <col min="4" max="4" width="8.42578125" style="239" customWidth="1"/>
    <col min="5" max="5" width="12.42578125" style="239" customWidth="1"/>
    <col min="6" max="6" width="14.140625" style="239" customWidth="1"/>
    <col min="7" max="7" width="11.28515625" style="239" customWidth="1"/>
    <col min="8" max="16384" width="11.42578125" style="239"/>
  </cols>
  <sheetData>
    <row r="1" spans="1:7" ht="22.5" customHeight="1" x14ac:dyDescent="0.25">
      <c r="A1" s="237" t="s">
        <v>431</v>
      </c>
      <c r="B1" s="238" t="s">
        <v>0</v>
      </c>
      <c r="C1" s="249"/>
      <c r="D1" s="237"/>
    </row>
    <row r="2" spans="1:7" ht="14.25" customHeight="1" x14ac:dyDescent="0.25">
      <c r="A2" s="237"/>
      <c r="B2" s="237"/>
      <c r="C2" s="249"/>
      <c r="D2" s="237"/>
    </row>
    <row r="3" spans="1:7" ht="22.5" customHeight="1" x14ac:dyDescent="0.25">
      <c r="A3" s="240"/>
      <c r="B3" s="241" t="s">
        <v>249</v>
      </c>
      <c r="C3" s="249"/>
      <c r="D3" s="237"/>
    </row>
    <row r="4" spans="1:7" ht="22.5" customHeight="1" x14ac:dyDescent="0.25">
      <c r="A4" s="242"/>
      <c r="B4" s="237"/>
      <c r="C4" s="249"/>
      <c r="D4" s="237"/>
    </row>
    <row r="5" spans="1:7" ht="18" customHeight="1" x14ac:dyDescent="0.25">
      <c r="A5" s="243" t="s">
        <v>255</v>
      </c>
      <c r="B5" s="243" t="s">
        <v>250</v>
      </c>
      <c r="C5" s="250"/>
      <c r="D5" s="244"/>
    </row>
    <row r="6" spans="1:7" ht="18" customHeight="1" x14ac:dyDescent="0.25">
      <c r="A6" s="243" t="s">
        <v>2</v>
      </c>
      <c r="B6" s="243" t="s">
        <v>54</v>
      </c>
      <c r="C6" s="250"/>
      <c r="D6" s="244"/>
    </row>
    <row r="7" spans="1:7" ht="18" customHeight="1" x14ac:dyDescent="0.25">
      <c r="A7" s="243" t="s">
        <v>4</v>
      </c>
      <c r="B7" s="243" t="s">
        <v>244</v>
      </c>
      <c r="C7" s="250"/>
      <c r="D7" s="244"/>
    </row>
    <row r="8" spans="1:7" ht="18" customHeight="1" x14ac:dyDescent="0.25">
      <c r="A8" s="243" t="s">
        <v>5</v>
      </c>
      <c r="B8" s="243" t="s">
        <v>257</v>
      </c>
      <c r="C8" s="250"/>
      <c r="D8" s="244"/>
      <c r="F8" s="367" t="s">
        <v>171</v>
      </c>
      <c r="G8" s="368"/>
    </row>
    <row r="9" spans="1:7" ht="18" customHeight="1" x14ac:dyDescent="0.25">
      <c r="A9" s="243" t="s">
        <v>6</v>
      </c>
      <c r="B9" s="243" t="s">
        <v>490</v>
      </c>
      <c r="C9" s="250"/>
      <c r="D9" s="244"/>
      <c r="F9" s="257" t="s">
        <v>158</v>
      </c>
      <c r="G9" s="243">
        <v>130</v>
      </c>
    </row>
    <row r="10" spans="1:7" ht="18" customHeight="1" x14ac:dyDescent="0.25">
      <c r="A10" s="243" t="s">
        <v>478</v>
      </c>
      <c r="B10" s="243" t="s">
        <v>479</v>
      </c>
      <c r="C10" s="250"/>
      <c r="D10" s="244"/>
      <c r="F10" s="243" t="s">
        <v>160</v>
      </c>
      <c r="G10" s="258">
        <f>G9*1000*1000/12600</f>
        <v>10317.460317460318</v>
      </c>
    </row>
    <row r="11" spans="1:7" ht="18" customHeight="1" x14ac:dyDescent="0.25">
      <c r="A11" s="366" t="s">
        <v>9</v>
      </c>
      <c r="B11" s="243" t="s">
        <v>245</v>
      </c>
      <c r="C11" s="251">
        <v>1E-3</v>
      </c>
      <c r="D11" s="259" t="s">
        <v>174</v>
      </c>
      <c r="E11" s="247"/>
      <c r="F11" s="260">
        <f>C11*G10</f>
        <v>10.317460317460318</v>
      </c>
      <c r="G11" s="261"/>
    </row>
    <row r="12" spans="1:7" ht="18" customHeight="1" x14ac:dyDescent="0.25">
      <c r="A12" s="366"/>
      <c r="B12" s="243" t="s">
        <v>108</v>
      </c>
      <c r="C12" s="252">
        <v>1.1110999999999999E-2</v>
      </c>
      <c r="D12" s="259" t="s">
        <v>174</v>
      </c>
      <c r="E12" s="247"/>
      <c r="F12" s="262">
        <f>C12*G10</f>
        <v>114.63730158730159</v>
      </c>
      <c r="G12" s="261"/>
    </row>
    <row r="13" spans="1:7" ht="18" customHeight="1" x14ac:dyDescent="0.25">
      <c r="A13" s="366"/>
      <c r="B13" s="243" t="s">
        <v>427</v>
      </c>
      <c r="C13" s="252">
        <v>3.3300000000000002E-4</v>
      </c>
      <c r="D13" s="259" t="s">
        <v>174</v>
      </c>
      <c r="E13" s="247"/>
      <c r="F13" s="262">
        <f>C13*G10</f>
        <v>3.4357142857142859</v>
      </c>
      <c r="G13" s="261"/>
    </row>
    <row r="14" spans="1:7" ht="18" customHeight="1" x14ac:dyDescent="0.25">
      <c r="A14" s="366"/>
      <c r="B14" s="243" t="s">
        <v>246</v>
      </c>
      <c r="C14" s="252">
        <v>1E-4</v>
      </c>
      <c r="D14" s="259" t="s">
        <v>174</v>
      </c>
      <c r="E14" s="247"/>
      <c r="F14" s="263">
        <f>C14*G10</f>
        <v>1.0317460317460319</v>
      </c>
      <c r="G14" s="261"/>
    </row>
    <row r="15" spans="1:7" ht="18" customHeight="1" x14ac:dyDescent="0.25">
      <c r="A15" s="366"/>
      <c r="B15" s="243" t="s">
        <v>247</v>
      </c>
      <c r="C15" s="252">
        <v>5.5999999999999999E-5</v>
      </c>
      <c r="D15" s="259" t="s">
        <v>174</v>
      </c>
      <c r="E15" s="247"/>
      <c r="F15" s="263">
        <f>C15*G10</f>
        <v>0.57777777777777783</v>
      </c>
      <c r="G15" s="261"/>
    </row>
    <row r="16" spans="1:7" ht="18" customHeight="1" x14ac:dyDescent="0.25">
      <c r="A16" s="366"/>
      <c r="B16" s="243" t="s">
        <v>248</v>
      </c>
      <c r="C16" s="252">
        <v>3.4099999999999998E-3</v>
      </c>
      <c r="D16" s="259" t="s">
        <v>174</v>
      </c>
      <c r="E16" s="247"/>
      <c r="F16" s="258">
        <f>C16*G10</f>
        <v>35.182539682539684</v>
      </c>
      <c r="G16" s="264"/>
    </row>
    <row r="17" spans="1:7" ht="18" customHeight="1" x14ac:dyDescent="0.25">
      <c r="A17" s="366"/>
      <c r="B17" s="243" t="s">
        <v>48</v>
      </c>
      <c r="C17" s="252">
        <v>9.6000000000000002E-4</v>
      </c>
      <c r="D17" s="259" t="s">
        <v>174</v>
      </c>
      <c r="E17" s="247"/>
      <c r="F17" s="258">
        <f>C17*G10</f>
        <v>9.9047619047619051</v>
      </c>
      <c r="G17" s="264"/>
    </row>
    <row r="18" spans="1:7" ht="18" customHeight="1" x14ac:dyDescent="0.25">
      <c r="A18" s="366"/>
      <c r="B18" s="243" t="s">
        <v>12</v>
      </c>
      <c r="C18" s="252">
        <v>1</v>
      </c>
      <c r="D18" s="259" t="s">
        <v>161</v>
      </c>
      <c r="E18" s="247"/>
      <c r="F18" s="258">
        <f>C18*G10</f>
        <v>10317.460317460318</v>
      </c>
      <c r="G18" s="264"/>
    </row>
    <row r="19" spans="1:7" ht="18" customHeight="1" x14ac:dyDescent="0.25">
      <c r="A19" s="366"/>
      <c r="B19" s="243" t="s">
        <v>13</v>
      </c>
      <c r="C19" s="252">
        <v>1</v>
      </c>
      <c r="D19" s="259" t="s">
        <v>161</v>
      </c>
      <c r="E19" s="247"/>
      <c r="F19" s="258">
        <f>C19*G10</f>
        <v>10317.460317460318</v>
      </c>
      <c r="G19" s="264"/>
    </row>
    <row r="20" spans="1:7" ht="18" customHeight="1" x14ac:dyDescent="0.25">
      <c r="A20" s="366"/>
      <c r="B20" s="243" t="s">
        <v>14</v>
      </c>
      <c r="C20" s="252">
        <v>1</v>
      </c>
      <c r="D20" s="259" t="s">
        <v>161</v>
      </c>
      <c r="E20" s="247"/>
      <c r="F20" s="258">
        <f>C20*G10</f>
        <v>10317.460317460318</v>
      </c>
      <c r="G20" s="264"/>
    </row>
    <row r="21" spans="1:7" ht="18" customHeight="1" x14ac:dyDescent="0.25">
      <c r="A21" s="366"/>
      <c r="B21" s="243" t="s">
        <v>111</v>
      </c>
      <c r="C21" s="252">
        <v>5.0000000000000001E-3</v>
      </c>
      <c r="D21" s="259" t="s">
        <v>161</v>
      </c>
      <c r="E21" s="247"/>
      <c r="F21" s="258">
        <f>C21*G10</f>
        <v>51.587301587301589</v>
      </c>
      <c r="G21" s="264"/>
    </row>
    <row r="22" spans="1:7" ht="22.5" customHeight="1" x14ac:dyDescent="0.25">
      <c r="E22" s="259"/>
      <c r="F22" s="248"/>
    </row>
    <row r="23" spans="1:7" ht="22.5" customHeight="1" x14ac:dyDescent="0.25">
      <c r="A23" s="255" t="s">
        <v>233</v>
      </c>
      <c r="B23" s="255" t="s">
        <v>233</v>
      </c>
      <c r="C23" s="369" t="s">
        <v>234</v>
      </c>
      <c r="D23" s="369"/>
      <c r="E23" s="369"/>
    </row>
    <row r="24" spans="1:7" ht="22.5" customHeight="1" x14ac:dyDescent="0.25">
      <c r="A24" s="256" t="s">
        <v>235</v>
      </c>
      <c r="B24" s="256" t="s">
        <v>236</v>
      </c>
      <c r="C24" s="370" t="s">
        <v>237</v>
      </c>
      <c r="D24" s="370"/>
      <c r="E24" s="370"/>
    </row>
    <row r="25" spans="1:7" ht="22.5" customHeight="1" x14ac:dyDescent="0.25">
      <c r="A25" s="256" t="s">
        <v>238</v>
      </c>
      <c r="B25" s="256" t="s">
        <v>239</v>
      </c>
      <c r="C25" s="370" t="s">
        <v>240</v>
      </c>
      <c r="D25" s="370"/>
      <c r="E25" s="370"/>
    </row>
    <row r="26" spans="1:7" x14ac:dyDescent="0.25">
      <c r="A26" s="246"/>
      <c r="B26" s="246"/>
    </row>
    <row r="27" spans="1:7" x14ac:dyDescent="0.25">
      <c r="A27" s="245"/>
      <c r="B27" s="245"/>
      <c r="C27" s="254"/>
      <c r="D27" s="245"/>
      <c r="E27" s="245"/>
    </row>
  </sheetData>
  <mergeCells count="5">
    <mergeCell ref="A11:A21"/>
    <mergeCell ref="F8:G8"/>
    <mergeCell ref="C23:E23"/>
    <mergeCell ref="C24:E24"/>
    <mergeCell ref="C25:E25"/>
  </mergeCells>
  <pageMargins left="0.7" right="0.7" top="0.75" bottom="0.75" header="0.3" footer="0.3"/>
  <pageSetup paperSize="9" orientation="landscape" verticalDpi="0" r:id="rId1"/>
</worksheet>
</file>

<file path=xl/worksheets/sheet4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1"/>
  <dimension ref="A1:H32"/>
  <sheetViews>
    <sheetView topLeftCell="A4" workbookViewId="0">
      <selection activeCell="H13" sqref="H13:H15"/>
    </sheetView>
  </sheetViews>
  <sheetFormatPr baseColWidth="10" defaultRowHeight="15" x14ac:dyDescent="0.25"/>
  <cols>
    <col min="1" max="1" width="25.42578125" customWidth="1"/>
    <col min="2" max="2" width="32.140625" customWidth="1"/>
    <col min="4" max="4" width="11.42578125" style="162"/>
  </cols>
  <sheetData>
    <row r="1" spans="1:8" x14ac:dyDescent="0.25">
      <c r="A1" t="s">
        <v>471</v>
      </c>
    </row>
    <row r="3" spans="1:8" ht="20.25" x14ac:dyDescent="0.3">
      <c r="A3" s="26"/>
      <c r="B3" s="35" t="s">
        <v>0</v>
      </c>
      <c r="C3" s="26"/>
      <c r="D3" s="26"/>
    </row>
    <row r="4" spans="1:8" ht="15.75" x14ac:dyDescent="0.25">
      <c r="A4" s="26"/>
      <c r="B4" s="26"/>
      <c r="C4" s="26"/>
      <c r="D4" s="26"/>
    </row>
    <row r="5" spans="1:8" ht="20.25" x14ac:dyDescent="0.3">
      <c r="B5" s="35" t="s">
        <v>186</v>
      </c>
      <c r="C5" s="26"/>
      <c r="D5" s="26"/>
    </row>
    <row r="6" spans="1:8" ht="20.25" x14ac:dyDescent="0.3">
      <c r="A6" s="35"/>
      <c r="B6" s="26"/>
      <c r="C6" s="26"/>
      <c r="D6" s="26"/>
    </row>
    <row r="7" spans="1:8" ht="15.75" x14ac:dyDescent="0.25">
      <c r="A7" s="36" t="s">
        <v>1</v>
      </c>
      <c r="B7" s="36" t="s">
        <v>187</v>
      </c>
      <c r="C7" s="37"/>
      <c r="D7" s="37"/>
    </row>
    <row r="8" spans="1:8" ht="15.75" x14ac:dyDescent="0.25">
      <c r="A8" s="36" t="s">
        <v>2</v>
      </c>
      <c r="B8" s="36" t="s">
        <v>3</v>
      </c>
      <c r="C8" s="37"/>
      <c r="D8" s="37"/>
    </row>
    <row r="9" spans="1:8" ht="16.5" thickBot="1" x14ac:dyDescent="0.3">
      <c r="A9" s="36" t="s">
        <v>4</v>
      </c>
      <c r="B9" s="36" t="s">
        <v>30</v>
      </c>
      <c r="C9" s="37"/>
      <c r="D9" s="37"/>
    </row>
    <row r="10" spans="1:8" ht="16.5" thickBot="1" x14ac:dyDescent="0.3">
      <c r="A10" s="36" t="s">
        <v>5</v>
      </c>
      <c r="B10" s="36" t="s">
        <v>31</v>
      </c>
      <c r="C10" s="37"/>
      <c r="D10" s="37"/>
      <c r="F10" s="29" t="s">
        <v>156</v>
      </c>
      <c r="G10" s="28"/>
      <c r="H10" s="48" t="s">
        <v>157</v>
      </c>
    </row>
    <row r="11" spans="1:8" ht="15.75" x14ac:dyDescent="0.25">
      <c r="A11" s="36" t="s">
        <v>6</v>
      </c>
      <c r="B11" s="36" t="s">
        <v>7</v>
      </c>
      <c r="C11" s="37"/>
      <c r="D11" s="37"/>
      <c r="F11" s="17" t="s">
        <v>158</v>
      </c>
      <c r="G11" s="1">
        <v>143</v>
      </c>
      <c r="H11" s="12">
        <v>248.3</v>
      </c>
    </row>
    <row r="12" spans="1:8" ht="16.5" thickBot="1" x14ac:dyDescent="0.3">
      <c r="A12" s="36" t="s">
        <v>8</v>
      </c>
      <c r="B12" s="36"/>
      <c r="C12" s="37"/>
      <c r="D12" s="37"/>
      <c r="E12" s="44" t="s">
        <v>299</v>
      </c>
      <c r="F12" s="12" t="s">
        <v>160</v>
      </c>
      <c r="G12" s="96">
        <f>G11*1000/19.1</f>
        <v>7486.9109947643974</v>
      </c>
      <c r="H12" s="90">
        <f>H11*1000/19.1</f>
        <v>12999.999999999998</v>
      </c>
    </row>
    <row r="13" spans="1:8" ht="15.75" x14ac:dyDescent="0.25">
      <c r="A13" s="371" t="s">
        <v>9</v>
      </c>
      <c r="B13" s="38" t="s">
        <v>151</v>
      </c>
      <c r="C13" s="39">
        <v>1.8898999999999999E-2</v>
      </c>
      <c r="D13" t="s">
        <v>190</v>
      </c>
      <c r="E13" s="162" t="s">
        <v>289</v>
      </c>
      <c r="F13" s="30">
        <f>C13*G12</f>
        <v>141.49513089005234</v>
      </c>
      <c r="G13" s="32"/>
      <c r="H13" s="30">
        <f>C13*H12</f>
        <v>245.68699999999995</v>
      </c>
    </row>
    <row r="14" spans="1:8" ht="15.75" x14ac:dyDescent="0.25">
      <c r="A14" s="371"/>
      <c r="B14" s="38" t="s">
        <v>188</v>
      </c>
      <c r="C14" s="40">
        <v>1.9999999999999999E-6</v>
      </c>
      <c r="D14" t="s">
        <v>190</v>
      </c>
      <c r="E14" s="44" t="s">
        <v>367</v>
      </c>
      <c r="F14" s="30">
        <f>C14*G12</f>
        <v>1.4973821989528794E-2</v>
      </c>
      <c r="G14" s="32"/>
      <c r="H14" s="30">
        <f>C14*H12</f>
        <v>2.5999999999999995E-2</v>
      </c>
    </row>
    <row r="15" spans="1:8" ht="15.75" x14ac:dyDescent="0.25">
      <c r="A15" s="372"/>
      <c r="B15" s="41" t="s">
        <v>189</v>
      </c>
      <c r="C15" s="112">
        <v>2.0000000000000001E-4</v>
      </c>
      <c r="D15" t="s">
        <v>190</v>
      </c>
      <c r="E15" s="44" t="s">
        <v>368</v>
      </c>
      <c r="F15" s="30">
        <f>C15*G12</f>
        <v>1.4973821989528795</v>
      </c>
      <c r="G15" s="32"/>
      <c r="H15" s="30">
        <f>C15*H12</f>
        <v>2.5999999999999996</v>
      </c>
    </row>
    <row r="16" spans="1:8" ht="15.75" x14ac:dyDescent="0.25">
      <c r="A16" s="372"/>
      <c r="B16" s="41" t="s">
        <v>10</v>
      </c>
      <c r="C16" s="112">
        <v>1.818E-3</v>
      </c>
      <c r="D16" t="s">
        <v>190</v>
      </c>
      <c r="E16" s="44" t="s">
        <v>291</v>
      </c>
      <c r="F16" s="30">
        <f>C16*G12</f>
        <v>13.611204188481674</v>
      </c>
      <c r="G16" s="32"/>
      <c r="H16" s="30">
        <f>C16*H12</f>
        <v>23.633999999999997</v>
      </c>
    </row>
    <row r="17" spans="1:8" ht="15.75" x14ac:dyDescent="0.25">
      <c r="A17" s="372"/>
      <c r="B17" s="41" t="s">
        <v>11</v>
      </c>
      <c r="C17" s="112">
        <v>1.6559999999999999E-3</v>
      </c>
      <c r="D17" t="s">
        <v>190</v>
      </c>
      <c r="E17" s="44" t="s">
        <v>369</v>
      </c>
      <c r="F17" s="30">
        <f>C17*G12</f>
        <v>12.398324607329842</v>
      </c>
      <c r="G17" s="33"/>
      <c r="H17" s="31">
        <f>C17*H12</f>
        <v>21.527999999999995</v>
      </c>
    </row>
    <row r="18" spans="1:8" ht="15.75" x14ac:dyDescent="0.25">
      <c r="A18" s="372"/>
      <c r="B18" s="41" t="s">
        <v>12</v>
      </c>
      <c r="C18" s="112">
        <v>1</v>
      </c>
      <c r="D18" t="s">
        <v>161</v>
      </c>
      <c r="E18" s="44" t="s">
        <v>370</v>
      </c>
      <c r="F18" s="31">
        <f>C18*G12</f>
        <v>7486.9109947643974</v>
      </c>
      <c r="G18" s="33"/>
      <c r="H18" s="31">
        <f>C18*H12</f>
        <v>12999.999999999998</v>
      </c>
    </row>
    <row r="19" spans="1:8" ht="15.75" x14ac:dyDescent="0.25">
      <c r="A19" s="372"/>
      <c r="B19" s="41" t="s">
        <v>13</v>
      </c>
      <c r="C19" s="112">
        <v>1</v>
      </c>
      <c r="D19" t="s">
        <v>161</v>
      </c>
      <c r="E19" s="44" t="s">
        <v>371</v>
      </c>
      <c r="F19" s="85">
        <f>C19*G12</f>
        <v>7486.9109947643974</v>
      </c>
      <c r="G19" s="33"/>
      <c r="H19" s="85">
        <f>C19*H12</f>
        <v>12999.999999999998</v>
      </c>
    </row>
    <row r="20" spans="1:8" ht="15.75" x14ac:dyDescent="0.25">
      <c r="A20" s="372"/>
      <c r="B20" s="41" t="s">
        <v>14</v>
      </c>
      <c r="C20" s="112">
        <v>1</v>
      </c>
      <c r="D20" t="s">
        <v>161</v>
      </c>
      <c r="E20" s="44" t="s">
        <v>276</v>
      </c>
      <c r="F20" s="95">
        <f>C20*G12</f>
        <v>7486.9109947643974</v>
      </c>
      <c r="G20" s="94"/>
      <c r="H20" s="93">
        <f>C20*H12</f>
        <v>12999.999999999998</v>
      </c>
    </row>
    <row r="21" spans="1:8" ht="15.75" thickBot="1" x14ac:dyDescent="0.3">
      <c r="A21" s="373"/>
      <c r="B21" s="42" t="s">
        <v>15</v>
      </c>
      <c r="C21" s="43">
        <v>0.01</v>
      </c>
      <c r="D21" t="s">
        <v>161</v>
      </c>
      <c r="E21" s="44" t="s">
        <v>281</v>
      </c>
      <c r="F21" s="95">
        <f>C21*G12</f>
        <v>74.869109947643977</v>
      </c>
      <c r="G21" s="94"/>
      <c r="H21" s="93">
        <f>C21*H12</f>
        <v>129.99999999999997</v>
      </c>
    </row>
    <row r="24" spans="1:8" ht="15.75" x14ac:dyDescent="0.25">
      <c r="A24" s="124" t="s">
        <v>233</v>
      </c>
      <c r="B24" s="124" t="s">
        <v>233</v>
      </c>
      <c r="C24" s="125" t="s">
        <v>234</v>
      </c>
      <c r="D24" s="125"/>
    </row>
    <row r="25" spans="1:8" ht="15.75" x14ac:dyDescent="0.25">
      <c r="A25" s="122" t="s">
        <v>235</v>
      </c>
      <c r="B25" s="122" t="s">
        <v>236</v>
      </c>
      <c r="C25" s="123" t="s">
        <v>237</v>
      </c>
      <c r="D25" s="123"/>
    </row>
    <row r="26" spans="1:8" ht="15.75" x14ac:dyDescent="0.25">
      <c r="A26" s="122" t="s">
        <v>238</v>
      </c>
      <c r="B26" s="122" t="s">
        <v>239</v>
      </c>
      <c r="C26" s="123" t="s">
        <v>240</v>
      </c>
      <c r="D26" s="123"/>
    </row>
    <row r="27" spans="1:8" x14ac:dyDescent="0.25">
      <c r="A27" s="121"/>
      <c r="B27" s="121"/>
    </row>
    <row r="28" spans="1:8" x14ac:dyDescent="0.25">
      <c r="A28" s="121"/>
      <c r="B28" s="121"/>
    </row>
    <row r="29" spans="1:8" x14ac:dyDescent="0.25">
      <c r="A29" s="121"/>
      <c r="B29" s="121"/>
    </row>
    <row r="30" spans="1:8" x14ac:dyDescent="0.25">
      <c r="A30" s="121"/>
      <c r="B30" s="121"/>
    </row>
    <row r="31" spans="1:8" x14ac:dyDescent="0.25">
      <c r="A31" s="121"/>
      <c r="B31" s="121"/>
    </row>
    <row r="32" spans="1:8" x14ac:dyDescent="0.25">
      <c r="A32" s="121"/>
      <c r="B32" s="121"/>
    </row>
  </sheetData>
  <mergeCells count="1">
    <mergeCell ref="A13:A21"/>
  </mergeCells>
  <pageMargins left="0.7" right="0.7" top="0.75" bottom="0.75" header="0.3" footer="0.3"/>
  <pageSetup paperSize="9" orientation="landscape" r:id="rId1"/>
  <legacy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2"/>
  <dimension ref="A1:H24"/>
  <sheetViews>
    <sheetView workbookViewId="0">
      <selection activeCell="B30" sqref="B30"/>
    </sheetView>
  </sheetViews>
  <sheetFormatPr baseColWidth="10" defaultRowHeight="15" x14ac:dyDescent="0.25"/>
  <cols>
    <col min="1" max="1" width="38.28515625" style="120" customWidth="1"/>
    <col min="2" max="2" width="41.5703125" style="120" customWidth="1"/>
    <col min="3" max="3" width="11.42578125" style="120"/>
    <col min="4" max="4" width="11.42578125" style="162"/>
    <col min="5" max="16384" width="11.42578125" style="120"/>
  </cols>
  <sheetData>
    <row r="1" spans="1:8" ht="20.25" x14ac:dyDescent="0.3">
      <c r="A1" s="147"/>
      <c r="B1" s="148" t="s">
        <v>298</v>
      </c>
      <c r="C1" s="149"/>
      <c r="D1" s="149"/>
      <c r="H1" s="171" t="s">
        <v>297</v>
      </c>
    </row>
    <row r="2" spans="1:8" ht="20.25" x14ac:dyDescent="0.3">
      <c r="A2" s="148"/>
      <c r="B2" s="149" t="s">
        <v>258</v>
      </c>
      <c r="C2" s="149"/>
      <c r="D2" s="149"/>
    </row>
    <row r="3" spans="1:8" ht="15.75" x14ac:dyDescent="0.25">
      <c r="A3" s="150" t="s">
        <v>103</v>
      </c>
      <c r="B3" s="150" t="s">
        <v>259</v>
      </c>
      <c r="C3" s="151"/>
      <c r="D3" s="151"/>
    </row>
    <row r="4" spans="1:8" ht="15.75" x14ac:dyDescent="0.25">
      <c r="A4" s="150" t="s">
        <v>2</v>
      </c>
      <c r="B4" s="150" t="s">
        <v>54</v>
      </c>
      <c r="C4" s="151"/>
      <c r="D4" s="151"/>
    </row>
    <row r="5" spans="1:8" ht="16.5" thickBot="1" x14ac:dyDescent="0.3">
      <c r="A5" s="150" t="s">
        <v>4</v>
      </c>
      <c r="B5" s="150" t="s">
        <v>55</v>
      </c>
      <c r="C5" s="151"/>
      <c r="D5" s="151"/>
    </row>
    <row r="6" spans="1:8" ht="16.5" thickBot="1" x14ac:dyDescent="0.3">
      <c r="A6" s="150" t="s">
        <v>5</v>
      </c>
      <c r="B6" s="150" t="s">
        <v>40</v>
      </c>
      <c r="C6" s="151"/>
      <c r="D6" s="151"/>
      <c r="F6" s="29" t="s">
        <v>231</v>
      </c>
      <c r="G6" s="152"/>
    </row>
    <row r="7" spans="1:8" ht="15.75" x14ac:dyDescent="0.25">
      <c r="A7" s="150" t="s">
        <v>6</v>
      </c>
      <c r="B7" s="150" t="s">
        <v>68</v>
      </c>
      <c r="C7" s="151"/>
      <c r="D7" s="151"/>
      <c r="F7" s="17" t="s">
        <v>158</v>
      </c>
      <c r="G7" s="1">
        <v>180</v>
      </c>
      <c r="H7" s="1">
        <v>90</v>
      </c>
    </row>
    <row r="8" spans="1:8" ht="15.75" x14ac:dyDescent="0.25">
      <c r="A8" s="150" t="s">
        <v>8</v>
      </c>
      <c r="B8" s="150"/>
      <c r="C8" s="151"/>
      <c r="D8" s="151"/>
      <c r="E8" s="44" t="s">
        <v>300</v>
      </c>
      <c r="F8" s="12" t="s">
        <v>160</v>
      </c>
      <c r="G8" s="96">
        <f>G7*1000/9</f>
        <v>20000</v>
      </c>
      <c r="H8" s="96">
        <f>H7*1000/9</f>
        <v>10000</v>
      </c>
    </row>
    <row r="9" spans="1:8" ht="15.75" x14ac:dyDescent="0.25">
      <c r="A9" s="374" t="s">
        <v>9</v>
      </c>
      <c r="B9" s="153" t="s">
        <v>260</v>
      </c>
      <c r="C9" s="154">
        <v>1.5E-3</v>
      </c>
      <c r="D9" s="162" t="s">
        <v>174</v>
      </c>
      <c r="E9" s="44"/>
      <c r="F9" s="90">
        <f>C9*G8</f>
        <v>30</v>
      </c>
      <c r="G9" s="32"/>
      <c r="H9" s="44">
        <f>H8*C9</f>
        <v>15</v>
      </c>
    </row>
    <row r="10" spans="1:8" ht="15.75" x14ac:dyDescent="0.25">
      <c r="A10" s="375"/>
      <c r="B10" s="153" t="s">
        <v>261</v>
      </c>
      <c r="C10" s="154">
        <v>7.5000000000000002E-4</v>
      </c>
      <c r="D10" s="162" t="s">
        <v>174</v>
      </c>
      <c r="E10" s="44"/>
      <c r="F10" s="90">
        <f>C10*G8</f>
        <v>15</v>
      </c>
      <c r="G10" s="32"/>
      <c r="H10" s="44">
        <f>H8*C10</f>
        <v>7.5</v>
      </c>
    </row>
    <row r="11" spans="1:8" ht="15.75" x14ac:dyDescent="0.25">
      <c r="A11" s="376"/>
      <c r="B11" s="153" t="s">
        <v>72</v>
      </c>
      <c r="C11" s="155">
        <v>6.0000000000000001E-3</v>
      </c>
      <c r="D11" s="162" t="s">
        <v>190</v>
      </c>
      <c r="E11" s="44"/>
      <c r="F11" s="90">
        <f>C11*G8</f>
        <v>120</v>
      </c>
      <c r="G11" s="32"/>
      <c r="H11" s="44">
        <f>H8*C11</f>
        <v>60</v>
      </c>
    </row>
    <row r="12" spans="1:8" ht="15.75" x14ac:dyDescent="0.25">
      <c r="A12" s="376"/>
      <c r="B12" s="153" t="s">
        <v>73</v>
      </c>
      <c r="C12" s="155">
        <v>5.6999999999999998E-4</v>
      </c>
      <c r="D12" s="162" t="s">
        <v>190</v>
      </c>
      <c r="E12" s="44" t="s">
        <v>364</v>
      </c>
      <c r="F12" s="98">
        <f>C12*G8</f>
        <v>11.4</v>
      </c>
      <c r="G12" s="32"/>
      <c r="H12" s="44">
        <f>H8*C12</f>
        <v>5.7</v>
      </c>
    </row>
    <row r="13" spans="1:8" ht="15.75" x14ac:dyDescent="0.25">
      <c r="A13" s="376"/>
      <c r="B13" s="153" t="s">
        <v>74</v>
      </c>
      <c r="C13" s="155">
        <v>1.4999999999999999E-4</v>
      </c>
      <c r="D13" s="162" t="s">
        <v>190</v>
      </c>
      <c r="E13" s="44"/>
      <c r="F13" s="90">
        <f>C13*G8</f>
        <v>2.9999999999999996</v>
      </c>
      <c r="G13" s="32"/>
      <c r="H13" s="44">
        <f>H8*C13</f>
        <v>1.4999999999999998</v>
      </c>
    </row>
    <row r="14" spans="1:8" ht="15.75" x14ac:dyDescent="0.25">
      <c r="A14" s="376"/>
      <c r="B14" s="153" t="s">
        <v>262</v>
      </c>
      <c r="C14" s="155">
        <v>3.0000000000000001E-5</v>
      </c>
      <c r="E14" s="44"/>
      <c r="F14" s="90">
        <f>C14*G8</f>
        <v>0.6</v>
      </c>
      <c r="G14" s="32"/>
      <c r="H14" s="44">
        <f>H8*C14</f>
        <v>0.3</v>
      </c>
    </row>
    <row r="15" spans="1:8" ht="15.75" x14ac:dyDescent="0.25">
      <c r="A15" s="376"/>
      <c r="B15" s="153" t="s">
        <v>47</v>
      </c>
      <c r="C15" s="155">
        <v>5.718E-3</v>
      </c>
      <c r="D15" s="162" t="s">
        <v>190</v>
      </c>
      <c r="E15" s="44" t="s">
        <v>315</v>
      </c>
      <c r="F15" s="90">
        <f>C15*G8</f>
        <v>114.36</v>
      </c>
      <c r="G15" s="33"/>
      <c r="H15" s="44">
        <f>H8*C15</f>
        <v>57.18</v>
      </c>
    </row>
    <row r="16" spans="1:8" ht="15.75" x14ac:dyDescent="0.25">
      <c r="A16" s="376"/>
      <c r="B16" s="153" t="s">
        <v>48</v>
      </c>
      <c r="C16" s="155">
        <v>1.4339999999999999E-3</v>
      </c>
      <c r="D16" s="162" t="s">
        <v>190</v>
      </c>
      <c r="E16" s="44" t="s">
        <v>365</v>
      </c>
      <c r="F16" s="98">
        <f>C16*G8</f>
        <v>28.68</v>
      </c>
      <c r="G16" s="33"/>
      <c r="H16" s="44">
        <f>H8*C16</f>
        <v>14.34</v>
      </c>
    </row>
    <row r="17" spans="1:8" ht="15.75" x14ac:dyDescent="0.25">
      <c r="A17" s="376"/>
      <c r="B17" s="153" t="s">
        <v>12</v>
      </c>
      <c r="C17" s="155">
        <v>1</v>
      </c>
      <c r="D17" s="162" t="s">
        <v>161</v>
      </c>
      <c r="E17" s="44">
        <v>250</v>
      </c>
      <c r="F17" s="99">
        <f>C17*G8</f>
        <v>20000</v>
      </c>
      <c r="G17" s="33"/>
      <c r="H17" s="44">
        <f>H8*C17</f>
        <v>10000</v>
      </c>
    </row>
    <row r="18" spans="1:8" ht="15.75" x14ac:dyDescent="0.25">
      <c r="A18" s="376"/>
      <c r="B18" s="153" t="s">
        <v>13</v>
      </c>
      <c r="C18" s="155">
        <v>1</v>
      </c>
      <c r="D18" s="162" t="s">
        <v>161</v>
      </c>
      <c r="E18" s="44" t="s">
        <v>366</v>
      </c>
      <c r="F18" s="100">
        <f>C18*G8</f>
        <v>20000</v>
      </c>
      <c r="G18" s="156"/>
      <c r="H18" s="44">
        <f>H8*C18</f>
        <v>10000</v>
      </c>
    </row>
    <row r="19" spans="1:8" ht="15.75" x14ac:dyDescent="0.25">
      <c r="A19" s="376"/>
      <c r="B19" s="153" t="s">
        <v>14</v>
      </c>
      <c r="C19" s="155">
        <v>1</v>
      </c>
      <c r="D19" s="162" t="s">
        <v>161</v>
      </c>
      <c r="E19" s="44" t="s">
        <v>276</v>
      </c>
      <c r="F19" s="100">
        <f>C19*G8</f>
        <v>20000</v>
      </c>
      <c r="G19" s="156"/>
      <c r="H19" s="44">
        <f>H8*C19</f>
        <v>10000</v>
      </c>
    </row>
    <row r="20" spans="1:8" ht="15.75" x14ac:dyDescent="0.25">
      <c r="A20" s="377"/>
      <c r="B20" s="157" t="s">
        <v>75</v>
      </c>
      <c r="C20" s="158">
        <v>5.0000000000000001E-3</v>
      </c>
      <c r="D20" s="162" t="s">
        <v>161</v>
      </c>
      <c r="E20" s="44" t="s">
        <v>349</v>
      </c>
      <c r="F20" s="100">
        <f>C20*G8</f>
        <v>100</v>
      </c>
      <c r="H20" s="44">
        <f>H8*C20</f>
        <v>50</v>
      </c>
    </row>
    <row r="22" spans="1:8" ht="15.75" x14ac:dyDescent="0.25">
      <c r="A22" s="124" t="s">
        <v>233</v>
      </c>
      <c r="B22" s="124" t="s">
        <v>233</v>
      </c>
      <c r="C22" s="125" t="s">
        <v>234</v>
      </c>
      <c r="D22" s="125"/>
    </row>
    <row r="23" spans="1:8" ht="15.75" x14ac:dyDescent="0.25">
      <c r="A23" s="122" t="s">
        <v>235</v>
      </c>
      <c r="B23" s="122" t="s">
        <v>236</v>
      </c>
      <c r="C23" s="159" t="s">
        <v>237</v>
      </c>
      <c r="D23" s="159"/>
    </row>
    <row r="24" spans="1:8" ht="15.75" x14ac:dyDescent="0.25">
      <c r="A24" s="122" t="s">
        <v>238</v>
      </c>
      <c r="B24" s="122" t="s">
        <v>239</v>
      </c>
      <c r="C24" s="159" t="s">
        <v>240</v>
      </c>
      <c r="D24" s="159"/>
    </row>
  </sheetData>
  <mergeCells count="1">
    <mergeCell ref="A9:A20"/>
  </mergeCells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3"/>
  <dimension ref="A1:H29"/>
  <sheetViews>
    <sheetView topLeftCell="A4" workbookViewId="0">
      <selection activeCell="H23" sqref="H23"/>
    </sheetView>
  </sheetViews>
  <sheetFormatPr baseColWidth="10" defaultRowHeight="15" x14ac:dyDescent="0.25"/>
  <cols>
    <col min="1" max="1" width="30" customWidth="1"/>
    <col min="2" max="2" width="29.28515625" customWidth="1"/>
    <col min="3" max="3" width="12.85546875" customWidth="1"/>
    <col min="4" max="4" width="12.85546875" style="162" customWidth="1"/>
  </cols>
  <sheetData>
    <row r="1" spans="1:8" x14ac:dyDescent="0.25">
      <c r="A1" t="s">
        <v>471</v>
      </c>
    </row>
    <row r="3" spans="1:8" ht="20.25" x14ac:dyDescent="0.3">
      <c r="A3" s="57"/>
      <c r="B3" s="59" t="s">
        <v>0</v>
      </c>
      <c r="C3" s="57"/>
      <c r="D3" s="57"/>
    </row>
    <row r="4" spans="1:8" ht="15.75" x14ac:dyDescent="0.25">
      <c r="A4" s="57"/>
      <c r="B4" s="57"/>
      <c r="C4" s="57"/>
      <c r="D4" s="57"/>
    </row>
    <row r="5" spans="1:8" ht="20.25" x14ac:dyDescent="0.3">
      <c r="A5" s="56"/>
      <c r="B5" s="59" t="s">
        <v>191</v>
      </c>
      <c r="C5" s="57"/>
      <c r="D5" s="57"/>
    </row>
    <row r="6" spans="1:8" ht="20.25" x14ac:dyDescent="0.3">
      <c r="A6" s="59"/>
      <c r="B6" s="57"/>
      <c r="C6" s="57"/>
      <c r="D6" s="57"/>
    </row>
    <row r="7" spans="1:8" ht="15.75" x14ac:dyDescent="0.25">
      <c r="A7" s="58" t="s">
        <v>1</v>
      </c>
      <c r="B7" s="58" t="s">
        <v>192</v>
      </c>
      <c r="C7" s="60"/>
      <c r="D7" s="60"/>
    </row>
    <row r="8" spans="1:8" ht="15.75" x14ac:dyDescent="0.25">
      <c r="A8" s="58" t="s">
        <v>2</v>
      </c>
      <c r="B8" s="58" t="s">
        <v>3</v>
      </c>
      <c r="C8" s="60"/>
      <c r="D8" s="60"/>
    </row>
    <row r="9" spans="1:8" ht="16.5" thickBot="1" x14ac:dyDescent="0.3">
      <c r="A9" s="58" t="s">
        <v>4</v>
      </c>
      <c r="B9" s="58" t="s">
        <v>30</v>
      </c>
      <c r="C9" s="60"/>
      <c r="D9" s="60"/>
    </row>
    <row r="10" spans="1:8" ht="16.5" thickBot="1" x14ac:dyDescent="0.3">
      <c r="A10" s="58" t="s">
        <v>5</v>
      </c>
      <c r="B10" s="58" t="s">
        <v>31</v>
      </c>
      <c r="C10" s="60"/>
      <c r="D10" s="60"/>
      <c r="F10" s="29" t="s">
        <v>156</v>
      </c>
      <c r="G10" s="28"/>
      <c r="H10" s="48" t="s">
        <v>157</v>
      </c>
    </row>
    <row r="11" spans="1:8" ht="15.75" x14ac:dyDescent="0.25">
      <c r="A11" s="58" t="s">
        <v>6</v>
      </c>
      <c r="B11" s="58" t="s">
        <v>193</v>
      </c>
      <c r="C11" s="60"/>
      <c r="D11" s="60"/>
      <c r="F11" s="17" t="s">
        <v>158</v>
      </c>
      <c r="G11" s="1"/>
      <c r="H11" s="12">
        <v>214.5</v>
      </c>
    </row>
    <row r="12" spans="1:8" ht="16.5" thickBot="1" x14ac:dyDescent="0.3">
      <c r="A12" s="58" t="s">
        <v>8</v>
      </c>
      <c r="B12" s="58"/>
      <c r="C12" s="60"/>
      <c r="D12" s="60"/>
      <c r="E12" s="44" t="s">
        <v>359</v>
      </c>
      <c r="F12" s="12" t="s">
        <v>160</v>
      </c>
      <c r="G12" s="96"/>
      <c r="H12" s="90">
        <f>H11*1000/16.5</f>
        <v>13000</v>
      </c>
    </row>
    <row r="13" spans="1:8" ht="15.75" x14ac:dyDescent="0.25">
      <c r="A13" s="378" t="s">
        <v>9</v>
      </c>
      <c r="B13" s="64" t="s">
        <v>32</v>
      </c>
      <c r="C13" s="113">
        <v>1.52E-2</v>
      </c>
      <c r="D13" t="s">
        <v>190</v>
      </c>
      <c r="E13" s="44" t="s">
        <v>289</v>
      </c>
      <c r="F13" s="381" t="s">
        <v>242</v>
      </c>
      <c r="G13" s="382"/>
      <c r="H13" s="30">
        <f>C13*H12</f>
        <v>197.6</v>
      </c>
    </row>
    <row r="14" spans="1:8" ht="15.75" x14ac:dyDescent="0.25">
      <c r="A14" s="378"/>
      <c r="B14" s="64" t="s">
        <v>194</v>
      </c>
      <c r="C14" s="114">
        <v>1E-4</v>
      </c>
      <c r="D14" t="s">
        <v>190</v>
      </c>
      <c r="E14" s="44" t="s">
        <v>360</v>
      </c>
      <c r="F14" s="381"/>
      <c r="G14" s="382"/>
      <c r="H14" s="30">
        <f>C14*H12</f>
        <v>1.3</v>
      </c>
    </row>
    <row r="15" spans="1:8" ht="15.75" x14ac:dyDescent="0.25">
      <c r="A15" s="379"/>
      <c r="B15" s="61" t="s">
        <v>195</v>
      </c>
      <c r="C15" s="115">
        <v>1.1999999999999999E-3</v>
      </c>
      <c r="D15" t="s">
        <v>190</v>
      </c>
      <c r="E15" s="44" t="s">
        <v>361</v>
      </c>
      <c r="F15" s="381"/>
      <c r="G15" s="382"/>
      <c r="H15" s="30">
        <f>C15*H12</f>
        <v>15.599999999999998</v>
      </c>
    </row>
    <row r="16" spans="1:8" ht="15.75" x14ac:dyDescent="0.25">
      <c r="A16" s="379"/>
      <c r="B16" s="61" t="s">
        <v>10</v>
      </c>
      <c r="C16" s="115">
        <v>1.818E-3</v>
      </c>
      <c r="D16" t="s">
        <v>190</v>
      </c>
      <c r="E16" s="44" t="s">
        <v>291</v>
      </c>
      <c r="F16" s="381"/>
      <c r="G16" s="382"/>
      <c r="H16" s="30">
        <f>C16*H12</f>
        <v>23.634</v>
      </c>
    </row>
    <row r="17" spans="1:8" ht="15.75" x14ac:dyDescent="0.25">
      <c r="A17" s="379"/>
      <c r="B17" s="61" t="s">
        <v>11</v>
      </c>
      <c r="C17" s="115">
        <v>1.6559999999999999E-3</v>
      </c>
      <c r="D17" t="s">
        <v>190</v>
      </c>
      <c r="E17" s="44" t="s">
        <v>340</v>
      </c>
      <c r="F17" s="381"/>
      <c r="G17" s="382"/>
      <c r="H17" s="31">
        <f>C17*H12</f>
        <v>21.527999999999999</v>
      </c>
    </row>
    <row r="18" spans="1:8" ht="15.75" x14ac:dyDescent="0.25">
      <c r="A18" s="379"/>
      <c r="B18" s="61" t="s">
        <v>12</v>
      </c>
      <c r="C18" s="115">
        <v>1</v>
      </c>
      <c r="D18" t="s">
        <v>161</v>
      </c>
      <c r="E18" s="44" t="s">
        <v>362</v>
      </c>
      <c r="F18" s="381"/>
      <c r="G18" s="382"/>
      <c r="H18" s="31">
        <f>C18*H12</f>
        <v>13000</v>
      </c>
    </row>
    <row r="19" spans="1:8" ht="15.75" x14ac:dyDescent="0.25">
      <c r="A19" s="379"/>
      <c r="B19" s="61" t="s">
        <v>13</v>
      </c>
      <c r="C19" s="115">
        <v>1</v>
      </c>
      <c r="D19" t="s">
        <v>161</v>
      </c>
      <c r="E19" s="44" t="s">
        <v>363</v>
      </c>
      <c r="F19" s="381"/>
      <c r="G19" s="382"/>
      <c r="H19" s="85">
        <f>C19*H12</f>
        <v>13000</v>
      </c>
    </row>
    <row r="20" spans="1:8" ht="15.75" x14ac:dyDescent="0.25">
      <c r="A20" s="379"/>
      <c r="B20" s="61" t="s">
        <v>145</v>
      </c>
      <c r="C20" s="115">
        <v>1</v>
      </c>
      <c r="D20" t="s">
        <v>161</v>
      </c>
      <c r="E20" s="44" t="s">
        <v>296</v>
      </c>
      <c r="F20" s="381"/>
      <c r="G20" s="382"/>
      <c r="H20" s="93">
        <f>C20*H12</f>
        <v>13000</v>
      </c>
    </row>
    <row r="21" spans="1:8" ht="15.75" thickBot="1" x14ac:dyDescent="0.3">
      <c r="A21" s="380"/>
      <c r="B21" s="65" t="s">
        <v>15</v>
      </c>
      <c r="C21" s="66">
        <v>0.01</v>
      </c>
      <c r="D21" t="s">
        <v>161</v>
      </c>
      <c r="E21" s="44" t="s">
        <v>281</v>
      </c>
      <c r="F21" s="383"/>
      <c r="G21" s="384"/>
      <c r="H21" s="93">
        <f>C21*H12</f>
        <v>130</v>
      </c>
    </row>
    <row r="24" spans="1:8" ht="15.75" x14ac:dyDescent="0.25">
      <c r="A24" s="124" t="s">
        <v>233</v>
      </c>
      <c r="B24" s="124" t="s">
        <v>233</v>
      </c>
      <c r="C24" s="125" t="s">
        <v>234</v>
      </c>
      <c r="D24" s="125"/>
    </row>
    <row r="25" spans="1:8" ht="15.75" x14ac:dyDescent="0.25">
      <c r="A25" s="122" t="s">
        <v>235</v>
      </c>
      <c r="B25" s="122" t="s">
        <v>236</v>
      </c>
      <c r="C25" s="123" t="s">
        <v>237</v>
      </c>
      <c r="D25" s="123"/>
    </row>
    <row r="26" spans="1:8" ht="15.75" x14ac:dyDescent="0.25">
      <c r="A26" s="122" t="s">
        <v>238</v>
      </c>
      <c r="B26" s="122" t="s">
        <v>239</v>
      </c>
      <c r="C26" s="123" t="s">
        <v>240</v>
      </c>
      <c r="D26" s="123"/>
    </row>
    <row r="27" spans="1:8" x14ac:dyDescent="0.25">
      <c r="A27" s="121"/>
      <c r="B27" s="121"/>
    </row>
    <row r="28" spans="1:8" x14ac:dyDescent="0.25">
      <c r="A28" s="121"/>
      <c r="B28" s="121"/>
    </row>
    <row r="29" spans="1:8" x14ac:dyDescent="0.25">
      <c r="A29" s="121"/>
      <c r="B29" s="121"/>
    </row>
  </sheetData>
  <mergeCells count="2">
    <mergeCell ref="A13:A21"/>
    <mergeCell ref="F13:G21"/>
  </mergeCells>
  <pageMargins left="0.7" right="0.7" top="0.75" bottom="0.75" header="0.3" footer="0.3"/>
  <pageSetup paperSize="9" orientation="landscape" r:id="rId1"/>
  <legacy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4"/>
  <dimension ref="A1:H36"/>
  <sheetViews>
    <sheetView workbookViewId="0">
      <selection activeCell="C22" sqref="C22"/>
    </sheetView>
  </sheetViews>
  <sheetFormatPr baseColWidth="10" defaultRowHeight="15" x14ac:dyDescent="0.25"/>
  <cols>
    <col min="1" max="1" width="28.7109375" customWidth="1"/>
    <col min="2" max="2" width="36.28515625" customWidth="1"/>
    <col min="3" max="3" width="14.7109375" customWidth="1"/>
    <col min="4" max="4" width="14.7109375" style="162" customWidth="1"/>
  </cols>
  <sheetData>
    <row r="1" spans="1:8" ht="20.25" x14ac:dyDescent="0.3">
      <c r="A1" s="57"/>
      <c r="B1" s="59" t="s">
        <v>0</v>
      </c>
      <c r="C1" s="57"/>
      <c r="D1" s="57"/>
    </row>
    <row r="2" spans="1:8" ht="15.75" x14ac:dyDescent="0.25">
      <c r="A2" s="57"/>
      <c r="B2" s="57"/>
      <c r="C2" s="57"/>
      <c r="D2" s="57"/>
    </row>
    <row r="3" spans="1:8" ht="20.25" x14ac:dyDescent="0.3">
      <c r="A3" s="59"/>
      <c r="B3" s="59" t="s">
        <v>196</v>
      </c>
      <c r="C3" s="57"/>
      <c r="D3" s="57"/>
    </row>
    <row r="4" spans="1:8" ht="20.25" x14ac:dyDescent="0.3">
      <c r="A4" s="59"/>
      <c r="B4" s="57"/>
      <c r="C4" s="57"/>
      <c r="D4" s="57"/>
    </row>
    <row r="5" spans="1:8" ht="15.75" x14ac:dyDescent="0.25">
      <c r="A5" s="58" t="s">
        <v>90</v>
      </c>
      <c r="B5" s="58" t="s">
        <v>197</v>
      </c>
      <c r="C5" s="60"/>
      <c r="D5" s="60"/>
    </row>
    <row r="6" spans="1:8" ht="15.75" x14ac:dyDescent="0.25">
      <c r="A6" s="58" t="s">
        <v>2</v>
      </c>
      <c r="B6" s="58" t="s">
        <v>38</v>
      </c>
      <c r="C6" s="60"/>
      <c r="D6" s="60"/>
    </row>
    <row r="7" spans="1:8" ht="16.5" thickBot="1" x14ac:dyDescent="0.3">
      <c r="A7" s="58" t="s">
        <v>4</v>
      </c>
      <c r="B7" s="58" t="s">
        <v>39</v>
      </c>
      <c r="C7" s="60"/>
      <c r="D7" s="60"/>
    </row>
    <row r="8" spans="1:8" ht="16.5" thickBot="1" x14ac:dyDescent="0.3">
      <c r="A8" s="58" t="s">
        <v>5</v>
      </c>
      <c r="B8" s="58" t="s">
        <v>67</v>
      </c>
      <c r="C8" s="60"/>
      <c r="D8" s="60"/>
      <c r="F8" s="29" t="s">
        <v>231</v>
      </c>
      <c r="G8" s="28"/>
      <c r="H8" s="48"/>
    </row>
    <row r="9" spans="1:8" ht="15.75" x14ac:dyDescent="0.25">
      <c r="A9" s="58" t="s">
        <v>6</v>
      </c>
      <c r="B9" s="58" t="s">
        <v>68</v>
      </c>
      <c r="C9" s="60"/>
      <c r="D9" s="60"/>
      <c r="F9" s="17" t="s">
        <v>158</v>
      </c>
      <c r="G9" s="1">
        <v>120</v>
      </c>
      <c r="H9" s="12"/>
    </row>
    <row r="10" spans="1:8" ht="15.75" x14ac:dyDescent="0.25">
      <c r="A10" s="58" t="s">
        <v>8</v>
      </c>
      <c r="B10" s="58"/>
      <c r="C10" s="60"/>
      <c r="D10" s="60"/>
      <c r="E10" s="44" t="s">
        <v>355</v>
      </c>
      <c r="F10" s="19" t="s">
        <v>160</v>
      </c>
      <c r="G10" s="96">
        <f>G9*1000/3</f>
        <v>40000</v>
      </c>
      <c r="H10" s="90"/>
    </row>
    <row r="11" spans="1:8" ht="15.75" x14ac:dyDescent="0.25">
      <c r="A11" s="385" t="s">
        <v>9</v>
      </c>
      <c r="B11" s="67" t="s">
        <v>198</v>
      </c>
      <c r="C11" s="68">
        <v>7.4999999999999993E-5</v>
      </c>
      <c r="D11" t="s">
        <v>190</v>
      </c>
      <c r="E11" s="162" t="s">
        <v>343</v>
      </c>
      <c r="F11" s="128">
        <f>C11*G10</f>
        <v>2.9999999999999996</v>
      </c>
      <c r="G11" s="32"/>
      <c r="H11" s="30"/>
    </row>
    <row r="12" spans="1:8" ht="15.75" x14ac:dyDescent="0.25">
      <c r="A12" s="386"/>
      <c r="B12" s="67" t="s">
        <v>45</v>
      </c>
      <c r="C12" s="68">
        <v>2.9250000000000001E-3</v>
      </c>
      <c r="D12" t="s">
        <v>190</v>
      </c>
      <c r="E12" s="162" t="s">
        <v>331</v>
      </c>
      <c r="F12" s="128">
        <f>C12*G10</f>
        <v>117</v>
      </c>
      <c r="G12" s="32"/>
      <c r="H12" s="30"/>
    </row>
    <row r="13" spans="1:8" ht="15.75" x14ac:dyDescent="0.25">
      <c r="A13" s="386"/>
      <c r="B13" s="67" t="s">
        <v>46</v>
      </c>
      <c r="C13" s="68">
        <v>30</v>
      </c>
      <c r="D13" t="s">
        <v>190</v>
      </c>
      <c r="E13" s="162" t="s">
        <v>356</v>
      </c>
      <c r="F13" s="130">
        <f>C13*G10</f>
        <v>1200000</v>
      </c>
      <c r="G13" s="32"/>
      <c r="H13" s="30"/>
    </row>
    <row r="14" spans="1:8" ht="15.75" x14ac:dyDescent="0.25">
      <c r="A14" s="386"/>
      <c r="B14" s="116" t="s">
        <v>96</v>
      </c>
      <c r="C14" s="68">
        <v>5.718E-3</v>
      </c>
      <c r="D14" t="s">
        <v>190</v>
      </c>
      <c r="E14" s="162" t="s">
        <v>351</v>
      </c>
      <c r="F14" s="129">
        <f>C14*G10</f>
        <v>228.72</v>
      </c>
      <c r="G14" s="32"/>
      <c r="H14" s="30"/>
    </row>
    <row r="15" spans="1:8" ht="15.75" x14ac:dyDescent="0.25">
      <c r="A15" s="386"/>
      <c r="B15" s="67" t="s">
        <v>48</v>
      </c>
      <c r="C15" s="68">
        <v>1.4339999999999999E-3</v>
      </c>
      <c r="D15" t="s">
        <v>190</v>
      </c>
      <c r="E15" s="162" t="s">
        <v>357</v>
      </c>
      <c r="F15" s="129">
        <f>C15*G10</f>
        <v>57.36</v>
      </c>
      <c r="G15" s="33"/>
      <c r="H15" s="31"/>
    </row>
    <row r="16" spans="1:8" ht="15.75" x14ac:dyDescent="0.25">
      <c r="A16" s="386"/>
      <c r="B16" s="67" t="s">
        <v>12</v>
      </c>
      <c r="C16" s="68">
        <v>1</v>
      </c>
      <c r="D16" t="s">
        <v>161</v>
      </c>
      <c r="E16" s="162" t="s">
        <v>358</v>
      </c>
      <c r="F16" s="130">
        <f>C16*G10</f>
        <v>40000</v>
      </c>
      <c r="G16" s="33"/>
      <c r="H16" s="31"/>
    </row>
    <row r="17" spans="1:8" ht="15.75" x14ac:dyDescent="0.25">
      <c r="A17" s="386"/>
      <c r="B17" s="67" t="s">
        <v>13</v>
      </c>
      <c r="C17" s="68">
        <v>1</v>
      </c>
      <c r="D17" t="s">
        <v>161</v>
      </c>
      <c r="E17" s="162" t="s">
        <v>354</v>
      </c>
      <c r="F17" s="131">
        <f>C17*G10</f>
        <v>40000</v>
      </c>
      <c r="G17" s="33"/>
      <c r="H17" s="85"/>
    </row>
    <row r="18" spans="1:8" ht="15.75" x14ac:dyDescent="0.25">
      <c r="A18" s="386"/>
      <c r="B18" s="67" t="s">
        <v>14</v>
      </c>
      <c r="C18" s="68">
        <v>1</v>
      </c>
      <c r="D18" t="s">
        <v>161</v>
      </c>
      <c r="E18" s="162" t="s">
        <v>276</v>
      </c>
      <c r="F18" s="178">
        <f>C18*G10</f>
        <v>40000</v>
      </c>
      <c r="G18" s="94"/>
      <c r="H18" s="93"/>
    </row>
    <row r="19" spans="1:8" ht="15.75" x14ac:dyDescent="0.25">
      <c r="A19" s="387"/>
      <c r="B19" s="179" t="s">
        <v>75</v>
      </c>
      <c r="C19" s="69">
        <v>0.01</v>
      </c>
      <c r="D19" t="s">
        <v>161</v>
      </c>
      <c r="E19" s="162" t="s">
        <v>349</v>
      </c>
      <c r="F19" s="178">
        <f>C19*G10</f>
        <v>400</v>
      </c>
      <c r="G19" s="94"/>
      <c r="H19" s="93"/>
    </row>
    <row r="20" spans="1:8" x14ac:dyDescent="0.25">
      <c r="E20" s="44"/>
    </row>
    <row r="21" spans="1:8" x14ac:dyDescent="0.25">
      <c r="A21" s="62" t="s">
        <v>97</v>
      </c>
      <c r="B21" s="62"/>
      <c r="C21" s="56"/>
      <c r="D21" s="56"/>
    </row>
    <row r="22" spans="1:8" x14ac:dyDescent="0.25">
      <c r="A22" s="62" t="s">
        <v>98</v>
      </c>
      <c r="B22" s="62"/>
      <c r="C22" s="56"/>
      <c r="D22" s="56"/>
    </row>
    <row r="23" spans="1:8" x14ac:dyDescent="0.25">
      <c r="A23" s="62" t="s">
        <v>101</v>
      </c>
      <c r="B23" s="62"/>
      <c r="C23" s="56"/>
      <c r="D23" s="56"/>
    </row>
    <row r="24" spans="1:8" x14ac:dyDescent="0.25">
      <c r="A24" s="62" t="s">
        <v>61</v>
      </c>
      <c r="B24" s="62"/>
      <c r="C24" s="56"/>
      <c r="D24" s="56"/>
    </row>
    <row r="25" spans="1:8" x14ac:dyDescent="0.25">
      <c r="A25" s="62" t="s">
        <v>62</v>
      </c>
      <c r="B25" s="62"/>
      <c r="C25" s="56"/>
      <c r="D25" s="56"/>
    </row>
    <row r="26" spans="1:8" x14ac:dyDescent="0.25">
      <c r="A26" s="62" t="s">
        <v>27</v>
      </c>
      <c r="B26" s="62"/>
      <c r="C26" s="56"/>
      <c r="D26" s="56"/>
    </row>
    <row r="27" spans="1:8" x14ac:dyDescent="0.25">
      <c r="A27" s="63" t="s">
        <v>64</v>
      </c>
      <c r="B27" s="62"/>
      <c r="C27" s="56"/>
      <c r="D27" s="56"/>
    </row>
    <row r="28" spans="1:8" ht="8.25" customHeight="1" x14ac:dyDescent="0.25"/>
    <row r="29" spans="1:8" hidden="1" x14ac:dyDescent="0.25">
      <c r="A29" s="120"/>
      <c r="B29" s="120"/>
      <c r="C29" s="120"/>
      <c r="E29" s="120"/>
    </row>
    <row r="30" spans="1:8" ht="15.75" x14ac:dyDescent="0.25">
      <c r="A30" s="124" t="s">
        <v>233</v>
      </c>
      <c r="B30" s="124" t="s">
        <v>233</v>
      </c>
      <c r="C30" s="125" t="s">
        <v>234</v>
      </c>
      <c r="D30" s="125"/>
      <c r="E30" s="120"/>
    </row>
    <row r="31" spans="1:8" ht="15.75" x14ac:dyDescent="0.25">
      <c r="A31" s="122" t="s">
        <v>235</v>
      </c>
      <c r="B31" s="122" t="s">
        <v>236</v>
      </c>
      <c r="C31" s="123" t="s">
        <v>237</v>
      </c>
      <c r="D31" s="123"/>
      <c r="E31" s="120"/>
    </row>
    <row r="32" spans="1:8" ht="15.75" x14ac:dyDescent="0.25">
      <c r="A32" s="122" t="s">
        <v>238</v>
      </c>
      <c r="B32" s="122" t="s">
        <v>239</v>
      </c>
      <c r="C32" s="123" t="s">
        <v>240</v>
      </c>
      <c r="D32" s="123"/>
      <c r="E32" s="120"/>
    </row>
    <row r="33" spans="1:5" x14ac:dyDescent="0.25">
      <c r="A33" s="121"/>
      <c r="B33" s="121"/>
      <c r="C33" s="120"/>
      <c r="E33" s="120"/>
    </row>
    <row r="34" spans="1:5" x14ac:dyDescent="0.25">
      <c r="A34" s="121"/>
      <c r="B34" s="121"/>
    </row>
    <row r="35" spans="1:5" x14ac:dyDescent="0.25">
      <c r="A35" s="121"/>
      <c r="B35" s="121"/>
    </row>
    <row r="36" spans="1:5" x14ac:dyDescent="0.25">
      <c r="A36" s="121"/>
      <c r="B36" s="121"/>
    </row>
  </sheetData>
  <mergeCells count="1">
    <mergeCell ref="A11:A19"/>
  </mergeCells>
  <pageMargins left="0.7" right="0.7" top="0.75" bottom="0.75" header="0.3" footer="0.3"/>
  <pageSetup paperSize="9" orientation="landscape" verticalDpi="0" r:id="rId1"/>
  <legacy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5"/>
  <dimension ref="A2:H38"/>
  <sheetViews>
    <sheetView topLeftCell="A4" workbookViewId="0">
      <selection activeCell="B20" sqref="B20"/>
    </sheetView>
  </sheetViews>
  <sheetFormatPr baseColWidth="10" defaultRowHeight="15" x14ac:dyDescent="0.25"/>
  <cols>
    <col min="1" max="1" width="31.7109375" customWidth="1"/>
    <col min="2" max="2" width="36.42578125" customWidth="1"/>
    <col min="3" max="3" width="13.85546875" customWidth="1"/>
    <col min="4" max="4" width="13.85546875" style="162" customWidth="1"/>
  </cols>
  <sheetData>
    <row r="2" spans="1:8" ht="20.25" x14ac:dyDescent="0.3">
      <c r="A2" s="57"/>
      <c r="B2" s="59" t="s">
        <v>0</v>
      </c>
      <c r="C2" s="57"/>
      <c r="D2" s="57"/>
    </row>
    <row r="3" spans="1:8" ht="15.75" x14ac:dyDescent="0.25">
      <c r="A3" s="57"/>
      <c r="B3" s="57"/>
      <c r="C3" s="57"/>
      <c r="D3" s="57"/>
    </row>
    <row r="4" spans="1:8" ht="20.25" x14ac:dyDescent="0.3">
      <c r="A4" s="59"/>
      <c r="B4" s="59" t="s">
        <v>199</v>
      </c>
      <c r="C4" s="57"/>
      <c r="D4" s="57"/>
    </row>
    <row r="5" spans="1:8" ht="20.25" x14ac:dyDescent="0.3">
      <c r="A5" s="59"/>
      <c r="B5" s="57"/>
      <c r="C5" s="57"/>
      <c r="D5" s="57"/>
    </row>
    <row r="6" spans="1:8" ht="15.75" x14ac:dyDescent="0.25">
      <c r="A6" s="58" t="s">
        <v>90</v>
      </c>
      <c r="B6" s="58" t="s">
        <v>91</v>
      </c>
      <c r="C6" s="60"/>
      <c r="D6" s="60"/>
    </row>
    <row r="7" spans="1:8" ht="15.75" x14ac:dyDescent="0.25">
      <c r="A7" s="58" t="s">
        <v>2</v>
      </c>
      <c r="B7" s="58" t="s">
        <v>38</v>
      </c>
      <c r="C7" s="60"/>
      <c r="D7" s="60"/>
    </row>
    <row r="8" spans="1:8" ht="16.5" thickBot="1" x14ac:dyDescent="0.3">
      <c r="A8" s="58" t="s">
        <v>4</v>
      </c>
      <c r="B8" s="58" t="s">
        <v>39</v>
      </c>
      <c r="C8" s="60"/>
      <c r="D8" s="60"/>
    </row>
    <row r="9" spans="1:8" ht="16.5" thickBot="1" x14ac:dyDescent="0.3">
      <c r="A9" s="58" t="s">
        <v>5</v>
      </c>
      <c r="B9" s="58" t="s">
        <v>67</v>
      </c>
      <c r="C9" s="60"/>
      <c r="D9" s="60"/>
      <c r="F9" s="29" t="s">
        <v>231</v>
      </c>
      <c r="G9" s="28"/>
      <c r="H9" s="48"/>
    </row>
    <row r="10" spans="1:8" ht="15.75" x14ac:dyDescent="0.25">
      <c r="A10" s="58" t="s">
        <v>6</v>
      </c>
      <c r="B10" s="58" t="s">
        <v>68</v>
      </c>
      <c r="C10" s="60"/>
      <c r="D10" s="60"/>
      <c r="F10" s="17" t="s">
        <v>158</v>
      </c>
      <c r="G10" s="1">
        <v>120</v>
      </c>
      <c r="H10" s="12"/>
    </row>
    <row r="11" spans="1:8" ht="15.75" x14ac:dyDescent="0.25">
      <c r="A11" s="58" t="s">
        <v>8</v>
      </c>
      <c r="B11" s="58"/>
      <c r="C11" s="60"/>
      <c r="D11" s="60"/>
      <c r="E11" s="44" t="s">
        <v>300</v>
      </c>
      <c r="F11" s="12" t="s">
        <v>160</v>
      </c>
      <c r="G11" s="96">
        <f>G10*1000/3</f>
        <v>40000</v>
      </c>
      <c r="H11" s="90"/>
    </row>
    <row r="12" spans="1:8" ht="15.75" x14ac:dyDescent="0.25">
      <c r="A12" s="385" t="s">
        <v>9</v>
      </c>
      <c r="B12" s="67" t="s">
        <v>198</v>
      </c>
      <c r="C12" s="68">
        <v>1.4999999999999999E-4</v>
      </c>
      <c r="D12" t="s">
        <v>190</v>
      </c>
      <c r="E12" s="44" t="s">
        <v>343</v>
      </c>
      <c r="F12" s="90">
        <f>C12*G11</f>
        <v>5.9999999999999991</v>
      </c>
      <c r="G12" s="32"/>
      <c r="H12" s="30"/>
    </row>
    <row r="13" spans="1:8" ht="15.75" x14ac:dyDescent="0.25">
      <c r="A13" s="386"/>
      <c r="B13" s="67" t="s">
        <v>45</v>
      </c>
      <c r="C13" s="68">
        <v>2.8500000000000001E-3</v>
      </c>
      <c r="D13" t="s">
        <v>190</v>
      </c>
      <c r="E13" s="44" t="s">
        <v>331</v>
      </c>
      <c r="F13" s="90">
        <f>C13*G11</f>
        <v>114</v>
      </c>
      <c r="G13" s="32"/>
      <c r="H13" s="30"/>
    </row>
    <row r="14" spans="1:8" ht="15.75" x14ac:dyDescent="0.25">
      <c r="A14" s="386"/>
      <c r="B14" s="67" t="s">
        <v>46</v>
      </c>
      <c r="C14" s="68">
        <v>30</v>
      </c>
      <c r="D14" t="s">
        <v>190</v>
      </c>
      <c r="E14" s="44" t="s">
        <v>350</v>
      </c>
      <c r="F14" s="98">
        <f>C14*G11</f>
        <v>1200000</v>
      </c>
      <c r="G14" s="32"/>
      <c r="H14" s="30"/>
    </row>
    <row r="15" spans="1:8" ht="15.75" x14ac:dyDescent="0.25">
      <c r="A15" s="386"/>
      <c r="B15" s="116" t="s">
        <v>96</v>
      </c>
      <c r="C15" s="68">
        <v>5.718E-3</v>
      </c>
      <c r="D15" t="s">
        <v>190</v>
      </c>
      <c r="E15" s="44" t="s">
        <v>351</v>
      </c>
      <c r="F15" s="90">
        <f>C15*G11</f>
        <v>228.72</v>
      </c>
      <c r="G15" s="32"/>
      <c r="H15" s="30"/>
    </row>
    <row r="16" spans="1:8" ht="15.75" x14ac:dyDescent="0.25">
      <c r="A16" s="386"/>
      <c r="B16" s="67" t="s">
        <v>48</v>
      </c>
      <c r="C16" s="68">
        <v>1.4339999999999999E-3</v>
      </c>
      <c r="D16" t="s">
        <v>190</v>
      </c>
      <c r="E16" s="44" t="s">
        <v>352</v>
      </c>
      <c r="F16" s="90">
        <f>C16*G11</f>
        <v>57.36</v>
      </c>
      <c r="G16" s="33"/>
      <c r="H16" s="31"/>
    </row>
    <row r="17" spans="1:8" ht="15.75" x14ac:dyDescent="0.25">
      <c r="A17" s="386"/>
      <c r="B17" s="67" t="s">
        <v>12</v>
      </c>
      <c r="C17" s="68">
        <v>1</v>
      </c>
      <c r="D17" t="s">
        <v>161</v>
      </c>
      <c r="E17" s="44" t="s">
        <v>353</v>
      </c>
      <c r="F17" s="98">
        <f>C17*G11</f>
        <v>40000</v>
      </c>
      <c r="G17" s="33"/>
      <c r="H17" s="31"/>
    </row>
    <row r="18" spans="1:8" ht="15.75" x14ac:dyDescent="0.25">
      <c r="A18" s="386"/>
      <c r="B18" s="67" t="s">
        <v>13</v>
      </c>
      <c r="C18" s="68">
        <v>1</v>
      </c>
      <c r="D18" t="s">
        <v>161</v>
      </c>
      <c r="E18" s="44" t="s">
        <v>354</v>
      </c>
      <c r="F18" s="99">
        <f>C18*G11</f>
        <v>40000</v>
      </c>
      <c r="G18" s="33"/>
      <c r="H18" s="85"/>
    </row>
    <row r="19" spans="1:8" ht="15.75" x14ac:dyDescent="0.25">
      <c r="A19" s="386"/>
      <c r="B19" s="67" t="s">
        <v>14</v>
      </c>
      <c r="C19" s="68">
        <v>1</v>
      </c>
      <c r="D19" t="s">
        <v>161</v>
      </c>
      <c r="E19" s="44" t="s">
        <v>276</v>
      </c>
      <c r="F19" s="100">
        <f>C19*G11</f>
        <v>40000</v>
      </c>
      <c r="G19" s="94"/>
      <c r="H19" s="93"/>
    </row>
    <row r="20" spans="1:8" ht="15.75" x14ac:dyDescent="0.25">
      <c r="A20" s="387"/>
      <c r="B20" s="82" t="s">
        <v>426</v>
      </c>
      <c r="C20" s="69">
        <v>0.01</v>
      </c>
      <c r="D20" t="s">
        <v>161</v>
      </c>
      <c r="E20" s="44" t="s">
        <v>349</v>
      </c>
      <c r="F20" s="100">
        <f>C20*G11</f>
        <v>400</v>
      </c>
      <c r="G20" s="94"/>
      <c r="H20" s="93"/>
    </row>
    <row r="22" spans="1:8" x14ac:dyDescent="0.25">
      <c r="A22" s="62" t="s">
        <v>97</v>
      </c>
      <c r="B22" s="62"/>
      <c r="C22" s="56"/>
      <c r="D22" s="56"/>
    </row>
    <row r="23" spans="1:8" x14ac:dyDescent="0.25">
      <c r="A23" s="62" t="s">
        <v>98</v>
      </c>
      <c r="B23" s="62"/>
      <c r="C23" s="56"/>
      <c r="D23" s="56"/>
    </row>
    <row r="24" spans="1:8" x14ac:dyDescent="0.25">
      <c r="A24" s="62" t="s">
        <v>101</v>
      </c>
      <c r="B24" s="62"/>
      <c r="C24" s="56"/>
      <c r="D24" s="56"/>
    </row>
    <row r="25" spans="1:8" x14ac:dyDescent="0.25">
      <c r="A25" s="62" t="s">
        <v>24</v>
      </c>
      <c r="B25" s="62"/>
      <c r="C25" s="56"/>
      <c r="D25" s="56"/>
    </row>
    <row r="26" spans="1:8" x14ac:dyDescent="0.25">
      <c r="A26" s="62" t="s">
        <v>62</v>
      </c>
      <c r="B26" s="62"/>
      <c r="C26" s="56"/>
      <c r="D26" s="56"/>
    </row>
    <row r="27" spans="1:8" x14ac:dyDescent="0.25">
      <c r="A27" s="62" t="s">
        <v>27</v>
      </c>
      <c r="B27" s="62"/>
      <c r="C27" s="56"/>
      <c r="D27" s="56"/>
    </row>
    <row r="28" spans="1:8" x14ac:dyDescent="0.25">
      <c r="A28" s="63" t="s">
        <v>64</v>
      </c>
      <c r="B28" s="62"/>
      <c r="C28" s="56"/>
      <c r="D28" s="56"/>
    </row>
    <row r="29" spans="1:8" ht="15.75" x14ac:dyDescent="0.25">
      <c r="A29" s="124" t="s">
        <v>233</v>
      </c>
      <c r="B29" s="124" t="s">
        <v>233</v>
      </c>
      <c r="C29" s="125" t="s">
        <v>234</v>
      </c>
      <c r="D29" s="125"/>
    </row>
    <row r="30" spans="1:8" ht="15.75" x14ac:dyDescent="0.25">
      <c r="A30" s="122" t="s">
        <v>235</v>
      </c>
      <c r="B30" s="122" t="s">
        <v>236</v>
      </c>
      <c r="C30" s="123" t="s">
        <v>237</v>
      </c>
      <c r="D30" s="123"/>
    </row>
    <row r="31" spans="1:8" ht="15.75" x14ac:dyDescent="0.25">
      <c r="A31" s="122" t="s">
        <v>238</v>
      </c>
      <c r="B31" s="122" t="s">
        <v>239</v>
      </c>
      <c r="C31" s="123" t="s">
        <v>240</v>
      </c>
      <c r="D31" s="123"/>
    </row>
    <row r="34" spans="1:3" x14ac:dyDescent="0.25">
      <c r="A34" s="121"/>
      <c r="B34" s="121"/>
      <c r="C34" s="120"/>
    </row>
    <row r="35" spans="1:3" x14ac:dyDescent="0.25">
      <c r="A35" s="121"/>
      <c r="B35" s="121"/>
    </row>
    <row r="36" spans="1:3" x14ac:dyDescent="0.25">
      <c r="A36" s="121"/>
      <c r="B36" s="121"/>
    </row>
    <row r="37" spans="1:3" x14ac:dyDescent="0.25">
      <c r="A37" s="121"/>
      <c r="B37" s="121"/>
    </row>
    <row r="38" spans="1:3" x14ac:dyDescent="0.25">
      <c r="A38" s="121"/>
      <c r="B38" s="121"/>
    </row>
  </sheetData>
  <mergeCells count="1">
    <mergeCell ref="A12:A20"/>
  </mergeCells>
  <pageMargins left="0.7" right="0.7" top="0.75" bottom="0.75" header="0.3" footer="0.3"/>
  <pageSetup paperSize="9" orientation="landscape" verticalDpi="0" r:id="rId1"/>
  <legacy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6"/>
  <dimension ref="A3:H38"/>
  <sheetViews>
    <sheetView workbookViewId="0">
      <selection activeCell="B22" sqref="B22"/>
    </sheetView>
  </sheetViews>
  <sheetFormatPr baseColWidth="10" defaultRowHeight="15" x14ac:dyDescent="0.25"/>
  <cols>
    <col min="1" max="1" width="32.5703125" customWidth="1"/>
    <col min="2" max="2" width="39.140625" customWidth="1"/>
    <col min="4" max="4" width="11.42578125" style="162"/>
  </cols>
  <sheetData>
    <row r="3" spans="1:8" ht="20.25" x14ac:dyDescent="0.3">
      <c r="A3" s="57"/>
      <c r="B3" s="59" t="s">
        <v>0</v>
      </c>
      <c r="C3" s="57"/>
      <c r="D3" s="57"/>
    </row>
    <row r="4" spans="1:8" ht="15.75" x14ac:dyDescent="0.25">
      <c r="A4" s="57"/>
      <c r="B4" s="57"/>
      <c r="C4" s="57"/>
      <c r="D4" s="57"/>
    </row>
    <row r="5" spans="1:8" ht="20.25" x14ac:dyDescent="0.3">
      <c r="A5" s="56"/>
      <c r="B5" s="59" t="s">
        <v>200</v>
      </c>
      <c r="C5" s="57"/>
      <c r="D5" s="57"/>
    </row>
    <row r="6" spans="1:8" ht="20.25" x14ac:dyDescent="0.3">
      <c r="A6" s="59"/>
      <c r="B6" s="57"/>
      <c r="C6" s="57"/>
      <c r="D6" s="57"/>
    </row>
    <row r="7" spans="1:8" ht="15.75" x14ac:dyDescent="0.25">
      <c r="A7" s="58" t="s">
        <v>103</v>
      </c>
      <c r="B7" s="58" t="s">
        <v>100</v>
      </c>
      <c r="C7" s="60"/>
      <c r="D7" s="60"/>
    </row>
    <row r="8" spans="1:8" ht="15.75" x14ac:dyDescent="0.25">
      <c r="A8" s="58" t="s">
        <v>2</v>
      </c>
      <c r="B8" s="58" t="s">
        <v>54</v>
      </c>
      <c r="C8" s="60"/>
      <c r="D8" s="60"/>
    </row>
    <row r="9" spans="1:8" ht="16.5" thickBot="1" x14ac:dyDescent="0.3">
      <c r="A9" s="58" t="s">
        <v>4</v>
      </c>
      <c r="B9" s="58" t="s">
        <v>55</v>
      </c>
      <c r="C9" s="60"/>
      <c r="D9" s="60"/>
    </row>
    <row r="10" spans="1:8" ht="16.5" thickBot="1" x14ac:dyDescent="0.3">
      <c r="A10" s="58" t="s">
        <v>5</v>
      </c>
      <c r="B10" s="58" t="s">
        <v>40</v>
      </c>
      <c r="C10" s="60"/>
      <c r="D10" s="60"/>
      <c r="F10" s="29" t="s">
        <v>231</v>
      </c>
      <c r="G10" s="28"/>
      <c r="H10" s="48"/>
    </row>
    <row r="11" spans="1:8" ht="15.75" x14ac:dyDescent="0.25">
      <c r="A11" s="58" t="s">
        <v>6</v>
      </c>
      <c r="B11" s="58" t="s">
        <v>68</v>
      </c>
      <c r="C11" s="60"/>
      <c r="D11" s="60"/>
      <c r="F11" s="17" t="s">
        <v>158</v>
      </c>
      <c r="G11" s="1">
        <v>245</v>
      </c>
      <c r="H11" s="12"/>
    </row>
    <row r="12" spans="1:8" ht="15.75" x14ac:dyDescent="0.25">
      <c r="A12" s="58" t="s">
        <v>8</v>
      </c>
      <c r="B12" s="58"/>
      <c r="C12" s="60"/>
      <c r="D12" s="60"/>
      <c r="E12" s="44" t="s">
        <v>328</v>
      </c>
      <c r="F12" s="19" t="s">
        <v>160</v>
      </c>
      <c r="G12" s="96">
        <f>G11*1000/9</f>
        <v>27222.222222222223</v>
      </c>
      <c r="H12" s="90"/>
    </row>
    <row r="13" spans="1:8" ht="15.75" x14ac:dyDescent="0.25">
      <c r="A13" s="385" t="s">
        <v>9</v>
      </c>
      <c r="B13" s="67" t="s">
        <v>198</v>
      </c>
      <c r="C13" s="117">
        <v>2.9999999999999997E-4</v>
      </c>
      <c r="D13" t="s">
        <v>174</v>
      </c>
      <c r="E13" s="162" t="s">
        <v>343</v>
      </c>
      <c r="F13" s="128">
        <f>C13*G12</f>
        <v>8.1666666666666661</v>
      </c>
      <c r="G13" s="32"/>
      <c r="H13" s="30"/>
    </row>
    <row r="14" spans="1:8" ht="15.75" x14ac:dyDescent="0.25">
      <c r="A14" s="386"/>
      <c r="B14" s="67" t="s">
        <v>72</v>
      </c>
      <c r="C14" s="68">
        <v>8.0999999999999996E-3</v>
      </c>
      <c r="D14" t="s">
        <v>190</v>
      </c>
      <c r="E14" s="162" t="s">
        <v>344</v>
      </c>
      <c r="F14" s="128">
        <f>C14*G12</f>
        <v>220.5</v>
      </c>
      <c r="G14" s="32"/>
      <c r="H14" s="30"/>
    </row>
    <row r="15" spans="1:8" ht="15.75" x14ac:dyDescent="0.25">
      <c r="A15" s="386"/>
      <c r="B15" s="67" t="s">
        <v>73</v>
      </c>
      <c r="C15" s="68">
        <v>4.4999999999999999E-4</v>
      </c>
      <c r="D15" t="s">
        <v>190</v>
      </c>
      <c r="E15" s="162" t="s">
        <v>345</v>
      </c>
      <c r="F15" s="175">
        <f>C15*G12</f>
        <v>12.25</v>
      </c>
      <c r="G15" s="32"/>
      <c r="H15" s="30"/>
    </row>
    <row r="16" spans="1:8" ht="15.75" x14ac:dyDescent="0.25">
      <c r="A16" s="386"/>
      <c r="B16" s="67" t="s">
        <v>74</v>
      </c>
      <c r="C16" s="68">
        <v>1.4999999999999999E-4</v>
      </c>
      <c r="D16" t="s">
        <v>190</v>
      </c>
      <c r="E16" s="162" t="s">
        <v>285</v>
      </c>
      <c r="F16" s="128">
        <f>C16*G12</f>
        <v>4.083333333333333</v>
      </c>
      <c r="G16" s="32"/>
      <c r="H16" s="30"/>
    </row>
    <row r="17" spans="1:8" ht="15.75" x14ac:dyDescent="0.25">
      <c r="A17" s="386"/>
      <c r="B17" s="67" t="s">
        <v>47</v>
      </c>
      <c r="C17" s="68">
        <v>5.718E-3</v>
      </c>
      <c r="D17" t="s">
        <v>190</v>
      </c>
      <c r="E17" s="162" t="s">
        <v>315</v>
      </c>
      <c r="F17" s="128">
        <f>C17*G12</f>
        <v>155.65666666666667</v>
      </c>
      <c r="G17" s="33"/>
      <c r="H17" s="31"/>
    </row>
    <row r="18" spans="1:8" ht="15.75" x14ac:dyDescent="0.25">
      <c r="A18" s="386"/>
      <c r="B18" s="67" t="s">
        <v>48</v>
      </c>
      <c r="C18" s="68">
        <v>1.4339999999999999E-3</v>
      </c>
      <c r="D18" t="s">
        <v>190</v>
      </c>
      <c r="E18" s="162" t="s">
        <v>346</v>
      </c>
      <c r="F18" s="175">
        <f>C18*G12</f>
        <v>39.036666666666669</v>
      </c>
      <c r="G18" s="33"/>
      <c r="H18" s="31"/>
    </row>
    <row r="19" spans="1:8" ht="15.75" x14ac:dyDescent="0.25">
      <c r="A19" s="386"/>
      <c r="B19" s="67" t="s">
        <v>12</v>
      </c>
      <c r="C19" s="68">
        <v>1</v>
      </c>
      <c r="D19" t="s">
        <v>161</v>
      </c>
      <c r="E19" s="162" t="s">
        <v>347</v>
      </c>
      <c r="F19" s="176">
        <f>C19*G12</f>
        <v>27222.222222222223</v>
      </c>
      <c r="G19" s="33"/>
      <c r="H19" s="85"/>
    </row>
    <row r="20" spans="1:8" ht="15.75" x14ac:dyDescent="0.25">
      <c r="A20" s="386"/>
      <c r="B20" s="67" t="s">
        <v>13</v>
      </c>
      <c r="C20" s="68">
        <v>1</v>
      </c>
      <c r="D20" t="s">
        <v>161</v>
      </c>
      <c r="E20" s="162" t="s">
        <v>348</v>
      </c>
      <c r="F20" s="177">
        <f>C20*G12</f>
        <v>27222.222222222223</v>
      </c>
      <c r="G20" s="94"/>
      <c r="H20" s="93"/>
    </row>
    <row r="21" spans="1:8" ht="15.75" x14ac:dyDescent="0.25">
      <c r="A21" s="386"/>
      <c r="B21" s="67" t="s">
        <v>14</v>
      </c>
      <c r="C21" s="68">
        <v>1</v>
      </c>
      <c r="D21" t="s">
        <v>161</v>
      </c>
      <c r="E21" s="162" t="s">
        <v>276</v>
      </c>
      <c r="F21" s="177">
        <f>C21*G12</f>
        <v>27222.222222222223</v>
      </c>
      <c r="G21" s="94"/>
      <c r="H21" s="93"/>
    </row>
    <row r="22" spans="1:8" ht="15.75" x14ac:dyDescent="0.25">
      <c r="A22" s="387"/>
      <c r="B22" s="82" t="s">
        <v>75</v>
      </c>
      <c r="C22" s="69">
        <v>5.0000000000000001E-3</v>
      </c>
      <c r="D22" t="s">
        <v>161</v>
      </c>
      <c r="E22" s="162" t="s">
        <v>349</v>
      </c>
    </row>
    <row r="24" spans="1:8" x14ac:dyDescent="0.25">
      <c r="A24" s="62" t="s">
        <v>58</v>
      </c>
      <c r="B24" s="62"/>
      <c r="C24" s="56"/>
      <c r="D24" s="56"/>
    </row>
    <row r="25" spans="1:8" x14ac:dyDescent="0.25">
      <c r="A25" s="62" t="s">
        <v>59</v>
      </c>
      <c r="B25" s="62"/>
      <c r="C25" s="56"/>
      <c r="D25" s="56"/>
    </row>
    <row r="26" spans="1:8" x14ac:dyDescent="0.25">
      <c r="A26" s="62" t="s">
        <v>60</v>
      </c>
      <c r="B26" s="62"/>
      <c r="C26" s="56"/>
      <c r="D26" s="56"/>
    </row>
    <row r="27" spans="1:8" x14ac:dyDescent="0.25">
      <c r="A27" s="62" t="s">
        <v>61</v>
      </c>
      <c r="B27" s="62"/>
      <c r="C27" s="56"/>
      <c r="D27" s="56"/>
    </row>
    <row r="28" spans="1:8" x14ac:dyDescent="0.25">
      <c r="A28" s="62" t="s">
        <v>62</v>
      </c>
      <c r="B28" s="62"/>
      <c r="C28" s="56"/>
      <c r="D28" s="56"/>
    </row>
    <row r="29" spans="1:8" x14ac:dyDescent="0.25">
      <c r="A29" s="62" t="s">
        <v>63</v>
      </c>
      <c r="B29" s="62"/>
      <c r="C29" s="56"/>
      <c r="D29" s="56"/>
    </row>
    <row r="30" spans="1:8" x14ac:dyDescent="0.25">
      <c r="A30" s="63" t="s">
        <v>64</v>
      </c>
      <c r="B30" s="62"/>
      <c r="C30" s="56"/>
      <c r="D30" s="56"/>
    </row>
    <row r="32" spans="1:8" ht="15.75" x14ac:dyDescent="0.25">
      <c r="A32" s="124" t="s">
        <v>233</v>
      </c>
      <c r="B32" s="124" t="s">
        <v>233</v>
      </c>
      <c r="C32" s="125" t="s">
        <v>234</v>
      </c>
      <c r="D32" s="125"/>
    </row>
    <row r="33" spans="1:4" ht="15.75" x14ac:dyDescent="0.25">
      <c r="A33" s="122" t="s">
        <v>235</v>
      </c>
      <c r="B33" s="122" t="s">
        <v>236</v>
      </c>
      <c r="C33" s="123" t="s">
        <v>237</v>
      </c>
      <c r="D33" s="123"/>
    </row>
    <row r="34" spans="1:4" ht="15.75" x14ac:dyDescent="0.25">
      <c r="A34" s="122" t="s">
        <v>238</v>
      </c>
      <c r="B34" s="122" t="s">
        <v>239</v>
      </c>
      <c r="C34" s="123" t="s">
        <v>240</v>
      </c>
      <c r="D34" s="123"/>
    </row>
    <row r="35" spans="1:4" x14ac:dyDescent="0.25">
      <c r="A35" s="121"/>
      <c r="B35" s="121"/>
      <c r="C35" s="120"/>
    </row>
    <row r="37" spans="1:4" x14ac:dyDescent="0.25">
      <c r="A37" s="121"/>
      <c r="B37" s="121"/>
    </row>
    <row r="38" spans="1:4" x14ac:dyDescent="0.25">
      <c r="A38" s="121"/>
      <c r="B38" s="121"/>
    </row>
  </sheetData>
  <mergeCells count="1">
    <mergeCell ref="A13:A22"/>
  </mergeCells>
  <pageMargins left="0.7" right="0.7" top="0.75" bottom="0.75" header="0.3" footer="0.3"/>
  <legacyDrawing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7"/>
  <dimension ref="A1:H31"/>
  <sheetViews>
    <sheetView topLeftCell="A4" workbookViewId="0">
      <selection activeCell="I12" sqref="I12"/>
    </sheetView>
  </sheetViews>
  <sheetFormatPr baseColWidth="10" defaultRowHeight="15" x14ac:dyDescent="0.25"/>
  <cols>
    <col min="1" max="1" width="21.85546875" customWidth="1"/>
    <col min="2" max="2" width="35.7109375" customWidth="1"/>
    <col min="4" max="4" width="5.42578125" style="162" customWidth="1"/>
  </cols>
  <sheetData>
    <row r="1" spans="1:8" x14ac:dyDescent="0.25">
      <c r="A1" t="s">
        <v>470</v>
      </c>
    </row>
    <row r="3" spans="1:8" ht="20.25" x14ac:dyDescent="0.3">
      <c r="A3" s="57"/>
      <c r="B3" s="59" t="s">
        <v>0</v>
      </c>
      <c r="C3" s="57"/>
      <c r="D3" s="57"/>
      <c r="E3" s="56"/>
      <c r="F3" s="56"/>
      <c r="G3" s="56"/>
    </row>
    <row r="4" spans="1:8" ht="15.75" x14ac:dyDescent="0.25">
      <c r="A4" s="57"/>
      <c r="B4" s="57"/>
      <c r="C4" s="57"/>
      <c r="D4" s="57"/>
      <c r="E4" s="56"/>
      <c r="F4" s="56"/>
      <c r="G4" s="56"/>
    </row>
    <row r="5" spans="1:8" ht="20.25" x14ac:dyDescent="0.3">
      <c r="A5" s="56"/>
      <c r="B5" s="59" t="s">
        <v>201</v>
      </c>
      <c r="C5" s="57"/>
      <c r="D5" s="57"/>
      <c r="E5" s="56"/>
      <c r="F5" s="56"/>
      <c r="G5" s="56"/>
    </row>
    <row r="6" spans="1:8" ht="20.25" x14ac:dyDescent="0.3">
      <c r="A6" s="59"/>
      <c r="B6" s="57"/>
      <c r="C6" s="57"/>
      <c r="D6" s="57"/>
      <c r="E6" s="56"/>
      <c r="F6" s="56"/>
      <c r="G6" s="56"/>
    </row>
    <row r="7" spans="1:8" ht="15.75" x14ac:dyDescent="0.25">
      <c r="A7" s="58" t="s">
        <v>1</v>
      </c>
      <c r="B7" s="58" t="s">
        <v>202</v>
      </c>
      <c r="C7" s="60"/>
      <c r="D7" s="60"/>
      <c r="E7" s="56"/>
      <c r="F7" s="56"/>
      <c r="G7" s="56"/>
    </row>
    <row r="8" spans="1:8" ht="15.75" x14ac:dyDescent="0.25">
      <c r="A8" s="58" t="s">
        <v>2</v>
      </c>
      <c r="B8" s="58" t="s">
        <v>3</v>
      </c>
      <c r="C8" s="60"/>
      <c r="D8" s="60"/>
      <c r="E8" s="56"/>
      <c r="F8" s="56"/>
      <c r="G8" s="56"/>
    </row>
    <row r="9" spans="1:8" ht="16.5" thickBot="1" x14ac:dyDescent="0.3">
      <c r="A9" s="58" t="s">
        <v>4</v>
      </c>
      <c r="B9" s="58" t="s">
        <v>30</v>
      </c>
      <c r="C9" s="60"/>
      <c r="D9" s="60"/>
      <c r="E9" s="56"/>
      <c r="F9" s="56"/>
      <c r="G9" s="56"/>
    </row>
    <row r="10" spans="1:8" ht="16.5" thickBot="1" x14ac:dyDescent="0.3">
      <c r="A10" s="58" t="s">
        <v>5</v>
      </c>
      <c r="B10" s="58" t="s">
        <v>31</v>
      </c>
      <c r="C10" s="60"/>
      <c r="D10" s="60"/>
      <c r="E10" s="56"/>
      <c r="F10" s="77" t="s">
        <v>156</v>
      </c>
      <c r="G10" s="76"/>
      <c r="H10" s="103" t="s">
        <v>157</v>
      </c>
    </row>
    <row r="11" spans="1:8" ht="15.75" x14ac:dyDescent="0.25">
      <c r="A11" s="58" t="s">
        <v>6</v>
      </c>
      <c r="B11" s="58" t="s">
        <v>113</v>
      </c>
      <c r="C11" s="60"/>
      <c r="D11" s="60"/>
      <c r="E11" s="56"/>
      <c r="F11" s="62" t="s">
        <v>158</v>
      </c>
      <c r="G11" s="56">
        <v>150</v>
      </c>
      <c r="H11" s="44">
        <v>260</v>
      </c>
    </row>
    <row r="12" spans="1:8" ht="16.5" thickBot="1" x14ac:dyDescent="0.3">
      <c r="A12" s="58" t="s">
        <v>8</v>
      </c>
      <c r="B12" s="58"/>
      <c r="C12" s="60"/>
      <c r="D12" s="60"/>
      <c r="E12" s="174" t="s">
        <v>319</v>
      </c>
      <c r="F12" s="62" t="s">
        <v>160</v>
      </c>
      <c r="G12" s="56">
        <v>7500</v>
      </c>
      <c r="H12" s="44">
        <f>H11*1000/20</f>
        <v>13000</v>
      </c>
    </row>
    <row r="13" spans="1:8" ht="16.5" thickBot="1" x14ac:dyDescent="0.3">
      <c r="A13" s="378" t="s">
        <v>9</v>
      </c>
      <c r="B13" s="64" t="s">
        <v>203</v>
      </c>
      <c r="C13" s="70">
        <v>1.3599999999999999E-2</v>
      </c>
      <c r="D13" s="56" t="s">
        <v>174</v>
      </c>
      <c r="E13" s="44" t="s">
        <v>289</v>
      </c>
      <c r="F13" s="78">
        <v>102</v>
      </c>
      <c r="G13" s="80"/>
      <c r="H13" s="44">
        <f>C13*H12</f>
        <v>176.79999999999998</v>
      </c>
    </row>
    <row r="14" spans="1:8" ht="15.75" x14ac:dyDescent="0.25">
      <c r="A14" s="378"/>
      <c r="B14" s="74" t="s">
        <v>32</v>
      </c>
      <c r="C14" s="70">
        <v>3.3999999999999998E-3</v>
      </c>
      <c r="D14" s="56" t="s">
        <v>174</v>
      </c>
      <c r="E14" s="162" t="s">
        <v>289</v>
      </c>
      <c r="F14" s="78">
        <v>25.5</v>
      </c>
      <c r="G14" s="80"/>
      <c r="H14" s="44">
        <f>C14*H12</f>
        <v>44.199999999999996</v>
      </c>
    </row>
    <row r="15" spans="1:8" ht="15.75" x14ac:dyDescent="0.25">
      <c r="A15" s="378"/>
      <c r="B15" s="64" t="s">
        <v>204</v>
      </c>
      <c r="C15" s="75">
        <v>1.5E-3</v>
      </c>
      <c r="D15" s="56" t="s">
        <v>174</v>
      </c>
      <c r="E15" s="44" t="s">
        <v>338</v>
      </c>
      <c r="F15" s="78">
        <v>11.25</v>
      </c>
      <c r="G15" s="80"/>
      <c r="H15" s="44">
        <f>C15*H12</f>
        <v>19.5</v>
      </c>
    </row>
    <row r="16" spans="1:8" ht="15.75" x14ac:dyDescent="0.25">
      <c r="A16" s="379"/>
      <c r="B16" s="61" t="s">
        <v>205</v>
      </c>
      <c r="C16" s="71">
        <v>1.5E-3</v>
      </c>
      <c r="D16" s="56" t="s">
        <v>174</v>
      </c>
      <c r="E16" s="44" t="s">
        <v>339</v>
      </c>
      <c r="F16" s="78">
        <v>11.25</v>
      </c>
      <c r="G16" s="80"/>
      <c r="H16" s="44">
        <f>C16*H12</f>
        <v>19.5</v>
      </c>
    </row>
    <row r="17" spans="1:8" ht="15.75" x14ac:dyDescent="0.25">
      <c r="A17" s="379"/>
      <c r="B17" s="61" t="s">
        <v>10</v>
      </c>
      <c r="C17" s="71">
        <v>1.818E-3</v>
      </c>
      <c r="D17" s="56" t="s">
        <v>174</v>
      </c>
      <c r="E17" s="44" t="s">
        <v>291</v>
      </c>
      <c r="F17" s="79">
        <f>C17*G12</f>
        <v>13.635</v>
      </c>
      <c r="G17" s="81"/>
      <c r="H17" s="44">
        <f>C17*H12</f>
        <v>23.634</v>
      </c>
    </row>
    <row r="18" spans="1:8" ht="15.75" x14ac:dyDescent="0.25">
      <c r="A18" s="379"/>
      <c r="B18" s="61" t="s">
        <v>11</v>
      </c>
      <c r="C18" s="71">
        <v>1.6559999999999999E-3</v>
      </c>
      <c r="D18" s="56" t="s">
        <v>174</v>
      </c>
      <c r="E18" s="44" t="s">
        <v>340</v>
      </c>
      <c r="F18" s="79">
        <f>C18*G12</f>
        <v>12.42</v>
      </c>
      <c r="G18" s="81"/>
      <c r="H18" s="44">
        <f>C18*H12</f>
        <v>21.527999999999999</v>
      </c>
    </row>
    <row r="19" spans="1:8" ht="15.75" x14ac:dyDescent="0.25">
      <c r="A19" s="379"/>
      <c r="B19" s="61" t="s">
        <v>12</v>
      </c>
      <c r="C19" s="71">
        <v>1</v>
      </c>
      <c r="D19" s="56" t="s">
        <v>161</v>
      </c>
      <c r="E19" s="44" t="s">
        <v>341</v>
      </c>
      <c r="F19" s="79">
        <f>C19*G12</f>
        <v>7500</v>
      </c>
      <c r="G19" s="81"/>
      <c r="H19" s="44">
        <f>C19*H12</f>
        <v>13000</v>
      </c>
    </row>
    <row r="20" spans="1:8" ht="15.75" x14ac:dyDescent="0.25">
      <c r="A20" s="379"/>
      <c r="B20" s="61" t="s">
        <v>13</v>
      </c>
      <c r="C20" s="71">
        <v>1</v>
      </c>
      <c r="D20" s="56" t="s">
        <v>161</v>
      </c>
      <c r="E20" s="44" t="s">
        <v>342</v>
      </c>
      <c r="F20" s="79">
        <f>C20*G12</f>
        <v>7500</v>
      </c>
      <c r="G20" s="81"/>
      <c r="H20" s="44">
        <f>C20*H12</f>
        <v>13000</v>
      </c>
    </row>
    <row r="21" spans="1:8" ht="15.75" x14ac:dyDescent="0.25">
      <c r="A21" s="379"/>
      <c r="B21" s="61" t="s">
        <v>14</v>
      </c>
      <c r="C21" s="71">
        <v>1</v>
      </c>
      <c r="D21" s="56" t="s">
        <v>161</v>
      </c>
      <c r="E21" s="44" t="s">
        <v>276</v>
      </c>
      <c r="F21" s="79">
        <f>C21*G12</f>
        <v>7500</v>
      </c>
      <c r="G21" s="56"/>
      <c r="H21" s="44">
        <f>C21*H12</f>
        <v>13000</v>
      </c>
    </row>
    <row r="22" spans="1:8" ht="16.5" thickBot="1" x14ac:dyDescent="0.3">
      <c r="A22" s="380"/>
      <c r="B22" s="72" t="s">
        <v>15</v>
      </c>
      <c r="C22" s="73">
        <v>0.01</v>
      </c>
      <c r="D22" s="56" t="s">
        <v>161</v>
      </c>
      <c r="E22" s="44" t="s">
        <v>281</v>
      </c>
      <c r="F22" s="101">
        <f>C22*G12</f>
        <v>75</v>
      </c>
      <c r="G22" s="56"/>
      <c r="H22" s="44">
        <f>C22*H12</f>
        <v>130</v>
      </c>
    </row>
    <row r="23" spans="1:8" x14ac:dyDescent="0.25">
      <c r="A23" s="56"/>
      <c r="B23" s="56"/>
      <c r="C23" s="56"/>
      <c r="D23" s="56"/>
      <c r="E23" s="56"/>
      <c r="F23" s="102"/>
      <c r="G23" s="56"/>
    </row>
    <row r="25" spans="1:8" ht="15.75" x14ac:dyDescent="0.25">
      <c r="A25" s="124" t="s">
        <v>233</v>
      </c>
      <c r="B25" s="124" t="s">
        <v>233</v>
      </c>
      <c r="C25" s="125" t="s">
        <v>234</v>
      </c>
      <c r="D25" s="125"/>
    </row>
    <row r="26" spans="1:8" ht="15.75" x14ac:dyDescent="0.25">
      <c r="A26" s="122" t="s">
        <v>235</v>
      </c>
      <c r="B26" s="122" t="s">
        <v>236</v>
      </c>
      <c r="C26" s="123" t="s">
        <v>237</v>
      </c>
      <c r="D26" s="123"/>
    </row>
    <row r="27" spans="1:8" ht="15.75" x14ac:dyDescent="0.25">
      <c r="A27" s="122" t="s">
        <v>238</v>
      </c>
      <c r="B27" s="122" t="s">
        <v>239</v>
      </c>
      <c r="C27" s="123" t="s">
        <v>240</v>
      </c>
      <c r="D27" s="123"/>
    </row>
    <row r="28" spans="1:8" x14ac:dyDescent="0.25">
      <c r="A28" s="121"/>
      <c r="B28" s="121"/>
      <c r="C28" s="120"/>
    </row>
    <row r="31" spans="1:8" x14ac:dyDescent="0.25">
      <c r="A31" s="121"/>
      <c r="B31" s="121"/>
    </row>
  </sheetData>
  <mergeCells count="1">
    <mergeCell ref="A13:A22"/>
  </mergeCells>
  <pageMargins left="0.7" right="0.7" top="0.75" bottom="0.75" header="0.3" footer="0.3"/>
  <pageSetup paperSize="9" orientation="landscape" r:id="rId1"/>
</worksheet>
</file>

<file path=xl/worksheets/sheet4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8"/>
  <dimension ref="A3:H39"/>
  <sheetViews>
    <sheetView topLeftCell="A5" workbookViewId="0">
      <selection activeCell="C13" sqref="C13"/>
    </sheetView>
  </sheetViews>
  <sheetFormatPr baseColWidth="10" defaultRowHeight="15" x14ac:dyDescent="0.25"/>
  <cols>
    <col min="1" max="1" width="26.140625" customWidth="1"/>
    <col min="2" max="2" width="40.42578125" customWidth="1"/>
    <col min="3" max="3" width="12" customWidth="1"/>
    <col min="4" max="4" width="12" style="162" customWidth="1"/>
  </cols>
  <sheetData>
    <row r="3" spans="1:8" ht="20.25" x14ac:dyDescent="0.3">
      <c r="A3" s="57"/>
      <c r="B3" s="59" t="s">
        <v>0</v>
      </c>
      <c r="C3" s="57"/>
      <c r="D3" s="57"/>
    </row>
    <row r="4" spans="1:8" ht="15.75" x14ac:dyDescent="0.25">
      <c r="A4" s="57"/>
      <c r="B4" s="57"/>
      <c r="C4" s="57"/>
      <c r="D4" s="57"/>
    </row>
    <row r="5" spans="1:8" ht="20.25" x14ac:dyDescent="0.3">
      <c r="A5" s="59"/>
      <c r="B5" s="59" t="s">
        <v>206</v>
      </c>
      <c r="C5" s="57"/>
      <c r="D5" s="57"/>
    </row>
    <row r="6" spans="1:8" ht="20.25" x14ac:dyDescent="0.3">
      <c r="A6" s="59"/>
      <c r="B6" s="57"/>
      <c r="C6" s="57"/>
      <c r="D6" s="57"/>
    </row>
    <row r="7" spans="1:8" ht="15.75" x14ac:dyDescent="0.25">
      <c r="A7" s="58" t="s">
        <v>90</v>
      </c>
      <c r="B7" s="58" t="s">
        <v>79</v>
      </c>
      <c r="C7" s="60"/>
      <c r="D7" s="60"/>
    </row>
    <row r="8" spans="1:8" ht="15.75" x14ac:dyDescent="0.25">
      <c r="A8" s="58" t="s">
        <v>2</v>
      </c>
      <c r="B8" s="58" t="s">
        <v>38</v>
      </c>
      <c r="C8" s="60"/>
      <c r="D8" s="60"/>
    </row>
    <row r="9" spans="1:8" ht="16.5" thickBot="1" x14ac:dyDescent="0.3">
      <c r="A9" s="58" t="s">
        <v>4</v>
      </c>
      <c r="B9" s="58" t="s">
        <v>39</v>
      </c>
      <c r="C9" s="60"/>
      <c r="D9" s="60"/>
    </row>
    <row r="10" spans="1:8" ht="16.5" thickBot="1" x14ac:dyDescent="0.3">
      <c r="A10" s="58" t="s">
        <v>5</v>
      </c>
      <c r="B10" s="58" t="s">
        <v>40</v>
      </c>
      <c r="C10" s="60"/>
      <c r="D10" s="60"/>
      <c r="F10" s="104" t="s">
        <v>230</v>
      </c>
      <c r="G10" s="76"/>
      <c r="H10" s="106"/>
    </row>
    <row r="11" spans="1:8" ht="15.75" x14ac:dyDescent="0.25">
      <c r="A11" s="58" t="s">
        <v>6</v>
      </c>
      <c r="B11" s="58" t="s">
        <v>207</v>
      </c>
      <c r="C11" s="60"/>
      <c r="D11" s="60"/>
      <c r="F11" s="62" t="s">
        <v>158</v>
      </c>
      <c r="G11" s="56">
        <v>230</v>
      </c>
      <c r="H11" s="105"/>
    </row>
    <row r="12" spans="1:8" ht="15.75" x14ac:dyDescent="0.25">
      <c r="A12" s="58" t="s">
        <v>8</v>
      </c>
      <c r="B12" s="58"/>
      <c r="C12" s="60"/>
      <c r="D12" s="60"/>
      <c r="E12" s="44" t="s">
        <v>327</v>
      </c>
      <c r="F12" s="62" t="s">
        <v>160</v>
      </c>
      <c r="G12" s="56">
        <f>G11*1000/4.5</f>
        <v>51111.111111111109</v>
      </c>
      <c r="H12" s="44"/>
    </row>
    <row r="13" spans="1:8" ht="15.75" x14ac:dyDescent="0.25">
      <c r="A13" s="385" t="s">
        <v>9</v>
      </c>
      <c r="B13" s="67" t="s">
        <v>208</v>
      </c>
      <c r="C13" s="68">
        <v>1.5E-3</v>
      </c>
      <c r="D13" t="s">
        <v>174</v>
      </c>
      <c r="E13" s="162" t="s">
        <v>333</v>
      </c>
      <c r="F13" s="78">
        <f>C13*G12</f>
        <v>76.666666666666671</v>
      </c>
      <c r="G13" s="80"/>
      <c r="H13" s="44"/>
    </row>
    <row r="14" spans="1:8" ht="15.75" x14ac:dyDescent="0.25">
      <c r="A14" s="388"/>
      <c r="B14" s="67" t="s">
        <v>209</v>
      </c>
      <c r="C14" s="68">
        <v>2.8649999999999999E-3</v>
      </c>
      <c r="D14" t="s">
        <v>174</v>
      </c>
      <c r="E14" s="162" t="s">
        <v>334</v>
      </c>
      <c r="F14" s="78">
        <f>C14*G12</f>
        <v>146.43333333333334</v>
      </c>
      <c r="G14" s="80"/>
      <c r="H14" s="44"/>
    </row>
    <row r="15" spans="1:8" ht="15.75" x14ac:dyDescent="0.25">
      <c r="A15" s="388"/>
      <c r="B15" s="67" t="s">
        <v>95</v>
      </c>
      <c r="C15" s="117">
        <v>6.0000000000000002E-5</v>
      </c>
      <c r="D15" t="s">
        <v>174</v>
      </c>
      <c r="E15" s="162" t="s">
        <v>335</v>
      </c>
      <c r="F15" s="78">
        <f>C15*G12</f>
        <v>3.0666666666666664</v>
      </c>
      <c r="G15" s="80"/>
      <c r="H15" s="44"/>
    </row>
    <row r="16" spans="1:8" ht="15.75" x14ac:dyDescent="0.25">
      <c r="A16" s="388"/>
      <c r="B16" s="67" t="s">
        <v>210</v>
      </c>
      <c r="C16" s="68">
        <v>3.0000000000000001E-5</v>
      </c>
      <c r="D16" t="s">
        <v>174</v>
      </c>
      <c r="E16" s="162" t="s">
        <v>336</v>
      </c>
      <c r="F16" s="78">
        <f>C16*G12</f>
        <v>1.5333333333333332</v>
      </c>
      <c r="G16" s="80"/>
      <c r="H16" s="44"/>
    </row>
    <row r="17" spans="1:8" ht="15.75" x14ac:dyDescent="0.25">
      <c r="A17" s="386"/>
      <c r="B17" s="67" t="s">
        <v>44</v>
      </c>
      <c r="C17" s="68">
        <v>4.5000000000000003E-5</v>
      </c>
      <c r="D17" t="s">
        <v>174</v>
      </c>
      <c r="E17" s="162" t="s">
        <v>285</v>
      </c>
      <c r="F17" s="79">
        <f>C17*G12</f>
        <v>2.3000000000000003</v>
      </c>
      <c r="G17" s="81"/>
      <c r="H17" s="44"/>
    </row>
    <row r="18" spans="1:8" ht="15.75" x14ac:dyDescent="0.25">
      <c r="A18" s="386"/>
      <c r="B18" s="67" t="s">
        <v>46</v>
      </c>
      <c r="C18" s="68">
        <v>30</v>
      </c>
      <c r="D18" t="s">
        <v>174</v>
      </c>
      <c r="E18" s="162" t="s">
        <v>337</v>
      </c>
      <c r="F18" s="79">
        <f>C18*G12</f>
        <v>1533333.3333333333</v>
      </c>
      <c r="G18" s="81"/>
      <c r="H18" s="44"/>
    </row>
    <row r="19" spans="1:8" ht="15.75" x14ac:dyDescent="0.25">
      <c r="A19" s="386"/>
      <c r="B19" s="67" t="s">
        <v>211</v>
      </c>
      <c r="C19" s="68">
        <v>5.718E-3</v>
      </c>
      <c r="D19" t="s">
        <v>174</v>
      </c>
      <c r="E19" s="44"/>
      <c r="F19" s="79">
        <f>C19*G12</f>
        <v>292.25333333333333</v>
      </c>
      <c r="G19" s="81"/>
      <c r="H19" s="44"/>
    </row>
    <row r="20" spans="1:8" ht="15.75" x14ac:dyDescent="0.25">
      <c r="A20" s="386"/>
      <c r="B20" s="67" t="s">
        <v>48</v>
      </c>
      <c r="C20" s="68">
        <v>1.4339999999999999E-3</v>
      </c>
      <c r="D20" t="s">
        <v>174</v>
      </c>
      <c r="E20" s="44"/>
      <c r="F20" s="79">
        <f>C20*G12</f>
        <v>73.293333333333322</v>
      </c>
      <c r="G20" s="81"/>
      <c r="H20" s="44"/>
    </row>
    <row r="21" spans="1:8" ht="15.75" x14ac:dyDescent="0.25">
      <c r="A21" s="386"/>
      <c r="B21" s="67" t="s">
        <v>12</v>
      </c>
      <c r="C21" s="68">
        <v>1</v>
      </c>
      <c r="D21" t="s">
        <v>161</v>
      </c>
      <c r="E21" s="44"/>
      <c r="F21" s="79">
        <f>C21*G12</f>
        <v>51111.111111111109</v>
      </c>
      <c r="G21" s="56"/>
      <c r="H21" s="44"/>
    </row>
    <row r="22" spans="1:8" ht="15.75" x14ac:dyDescent="0.25">
      <c r="A22" s="386"/>
      <c r="B22" s="67" t="s">
        <v>13</v>
      </c>
      <c r="C22" s="68">
        <v>1</v>
      </c>
      <c r="D22" t="s">
        <v>161</v>
      </c>
      <c r="E22" s="44"/>
      <c r="F22" s="79">
        <f>C22*G12</f>
        <v>51111.111111111109</v>
      </c>
      <c r="G22" s="56"/>
      <c r="H22" s="44"/>
    </row>
    <row r="23" spans="1:8" ht="15.75" x14ac:dyDescent="0.25">
      <c r="A23" s="386"/>
      <c r="B23" s="67" t="s">
        <v>14</v>
      </c>
      <c r="C23" s="68">
        <v>1</v>
      </c>
      <c r="D23" t="s">
        <v>161</v>
      </c>
      <c r="E23" s="44"/>
      <c r="F23" s="84">
        <f>C23*G12</f>
        <v>51111.111111111109</v>
      </c>
    </row>
    <row r="24" spans="1:8" ht="15.75" x14ac:dyDescent="0.25">
      <c r="A24" s="387"/>
      <c r="B24" s="82" t="s">
        <v>49</v>
      </c>
      <c r="C24" s="69">
        <v>5.0000000000000001E-3</v>
      </c>
      <c r="D24" t="s">
        <v>161</v>
      </c>
      <c r="E24" s="44"/>
      <c r="F24" s="84">
        <f>C24*G12</f>
        <v>255.55555555555554</v>
      </c>
    </row>
    <row r="26" spans="1:8" x14ac:dyDescent="0.25">
      <c r="A26" s="62" t="s">
        <v>97</v>
      </c>
      <c r="B26" s="62"/>
      <c r="C26" s="56"/>
      <c r="D26" s="56"/>
    </row>
    <row r="27" spans="1:8" x14ac:dyDescent="0.25">
      <c r="A27" s="62" t="s">
        <v>98</v>
      </c>
      <c r="B27" s="62"/>
      <c r="C27" s="56"/>
      <c r="D27" s="56"/>
    </row>
    <row r="28" spans="1:8" x14ac:dyDescent="0.25">
      <c r="A28" s="62" t="s">
        <v>101</v>
      </c>
      <c r="B28" s="62"/>
      <c r="C28" s="56"/>
      <c r="D28" s="56"/>
    </row>
    <row r="29" spans="1:8" x14ac:dyDescent="0.25">
      <c r="A29" s="62" t="s">
        <v>61</v>
      </c>
      <c r="B29" s="62"/>
      <c r="C29" s="56"/>
      <c r="D29" s="56"/>
    </row>
    <row r="30" spans="1:8" x14ac:dyDescent="0.25">
      <c r="A30" s="62" t="s">
        <v>62</v>
      </c>
      <c r="B30" s="62"/>
      <c r="C30" s="56"/>
      <c r="D30" s="56"/>
    </row>
    <row r="31" spans="1:8" x14ac:dyDescent="0.25">
      <c r="A31" s="62" t="s">
        <v>27</v>
      </c>
      <c r="B31" s="62"/>
      <c r="C31" s="56"/>
      <c r="D31" s="56"/>
    </row>
    <row r="32" spans="1:8" x14ac:dyDescent="0.25">
      <c r="A32" s="63" t="s">
        <v>64</v>
      </c>
      <c r="B32" s="62"/>
      <c r="C32" s="56"/>
      <c r="D32" s="56"/>
    </row>
    <row r="34" spans="1:5" ht="15.75" x14ac:dyDescent="0.25">
      <c r="A34" s="124" t="s">
        <v>233</v>
      </c>
      <c r="B34" s="124" t="s">
        <v>233</v>
      </c>
      <c r="C34" s="125" t="s">
        <v>234</v>
      </c>
      <c r="D34" s="125"/>
      <c r="E34" s="120"/>
    </row>
    <row r="35" spans="1:5" ht="15.75" x14ac:dyDescent="0.25">
      <c r="A35" s="122" t="s">
        <v>235</v>
      </c>
      <c r="B35" s="122" t="s">
        <v>236</v>
      </c>
      <c r="C35" s="123" t="s">
        <v>237</v>
      </c>
      <c r="D35" s="123"/>
      <c r="E35" s="120"/>
    </row>
    <row r="36" spans="1:5" ht="15.75" x14ac:dyDescent="0.25">
      <c r="A36" s="122" t="s">
        <v>238</v>
      </c>
      <c r="B36" s="122" t="s">
        <v>239</v>
      </c>
      <c r="C36" s="123" t="s">
        <v>240</v>
      </c>
      <c r="D36" s="123"/>
      <c r="E36" s="120"/>
    </row>
    <row r="37" spans="1:5" x14ac:dyDescent="0.25">
      <c r="A37" s="121"/>
      <c r="B37" s="121"/>
    </row>
    <row r="38" spans="1:5" x14ac:dyDescent="0.25">
      <c r="A38" s="121"/>
      <c r="B38" s="121"/>
    </row>
    <row r="39" spans="1:5" x14ac:dyDescent="0.25">
      <c r="A39" s="121"/>
      <c r="B39" s="121"/>
    </row>
  </sheetData>
  <mergeCells count="1">
    <mergeCell ref="A13:A24"/>
  </mergeCells>
  <pageMargins left="0.7" right="0.7" top="0.75" bottom="0.75" header="0.3" footer="0.3"/>
  <legacyDrawing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9"/>
  <dimension ref="A3:J32"/>
  <sheetViews>
    <sheetView topLeftCell="A4" workbookViewId="0">
      <selection activeCell="J19" sqref="J19"/>
    </sheetView>
  </sheetViews>
  <sheetFormatPr baseColWidth="10" defaultRowHeight="15" x14ac:dyDescent="0.25"/>
  <cols>
    <col min="1" max="1" width="26.140625" style="162" customWidth="1"/>
    <col min="2" max="2" width="40.42578125" style="162" customWidth="1"/>
    <col min="3" max="3" width="12" style="162" customWidth="1"/>
    <col min="4" max="4" width="5.5703125" style="162" customWidth="1"/>
    <col min="5" max="5" width="12.5703125" style="162" customWidth="1"/>
    <col min="6" max="6" width="11.42578125" style="162"/>
    <col min="7" max="7" width="12.42578125" style="162" bestFit="1" customWidth="1"/>
    <col min="8" max="9" width="11.42578125" style="162"/>
    <col min="10" max="10" width="12" style="162" bestFit="1" customWidth="1"/>
    <col min="11" max="16384" width="11.42578125" style="162"/>
  </cols>
  <sheetData>
    <row r="3" spans="1:10" ht="20.25" x14ac:dyDescent="0.3">
      <c r="A3" s="57"/>
      <c r="B3" s="59" t="s">
        <v>0</v>
      </c>
      <c r="C3" s="57"/>
      <c r="D3" s="57"/>
    </row>
    <row r="4" spans="1:10" ht="15.75" x14ac:dyDescent="0.25">
      <c r="A4" s="57"/>
      <c r="B4" s="57"/>
      <c r="C4" s="57"/>
      <c r="D4" s="57"/>
    </row>
    <row r="5" spans="1:10" ht="20.25" x14ac:dyDescent="0.3">
      <c r="A5" s="59"/>
      <c r="B5" s="59" t="s">
        <v>443</v>
      </c>
      <c r="C5" s="57"/>
      <c r="D5" s="57"/>
    </row>
    <row r="6" spans="1:10" ht="20.25" x14ac:dyDescent="0.3">
      <c r="A6" s="59"/>
      <c r="B6" s="57"/>
      <c r="C6" s="57"/>
      <c r="D6" s="57"/>
    </row>
    <row r="7" spans="1:10" ht="15.75" x14ac:dyDescent="0.25">
      <c r="A7" s="58" t="s">
        <v>444</v>
      </c>
      <c r="B7" s="58" t="s">
        <v>445</v>
      </c>
      <c r="C7" s="60"/>
      <c r="D7" s="60"/>
    </row>
    <row r="8" spans="1:10" ht="15.75" x14ac:dyDescent="0.25">
      <c r="A8" s="58" t="s">
        <v>2</v>
      </c>
      <c r="B8" s="58" t="s">
        <v>446</v>
      </c>
      <c r="C8" s="60"/>
      <c r="D8" s="60"/>
      <c r="J8" s="162">
        <f>SUM(C13:C18)</f>
        <v>2.9999999999999996E-3</v>
      </c>
    </row>
    <row r="9" spans="1:10" ht="16.5" thickBot="1" x14ac:dyDescent="0.3">
      <c r="A9" s="58" t="s">
        <v>4</v>
      </c>
      <c r="B9" s="58" t="s">
        <v>447</v>
      </c>
      <c r="C9" s="60"/>
      <c r="D9" s="60"/>
    </row>
    <row r="10" spans="1:10" ht="16.5" thickBot="1" x14ac:dyDescent="0.3">
      <c r="A10" s="58" t="s">
        <v>5</v>
      </c>
      <c r="B10" s="188" t="s">
        <v>40</v>
      </c>
      <c r="C10" s="60"/>
      <c r="D10" s="60"/>
      <c r="F10" s="104" t="s">
        <v>230</v>
      </c>
      <c r="G10" s="76"/>
      <c r="H10" s="106"/>
    </row>
    <row r="11" spans="1:10" ht="15.75" x14ac:dyDescent="0.25">
      <c r="A11" s="58" t="s">
        <v>6</v>
      </c>
      <c r="B11" s="58" t="s">
        <v>92</v>
      </c>
      <c r="C11" s="60"/>
      <c r="D11" s="60"/>
      <c r="F11" s="62" t="s">
        <v>158</v>
      </c>
      <c r="G11" s="56">
        <v>110</v>
      </c>
      <c r="H11" s="105"/>
    </row>
    <row r="12" spans="1:10" ht="15.75" x14ac:dyDescent="0.25">
      <c r="A12" s="58" t="s">
        <v>8</v>
      </c>
      <c r="B12" s="58"/>
      <c r="C12" s="60"/>
      <c r="D12" s="60"/>
      <c r="E12" s="44" t="s">
        <v>327</v>
      </c>
      <c r="F12" s="62" t="s">
        <v>160</v>
      </c>
      <c r="G12" s="56">
        <v>36667</v>
      </c>
      <c r="H12" s="44"/>
    </row>
    <row r="13" spans="1:10" ht="15.75" x14ac:dyDescent="0.25">
      <c r="A13" s="385" t="s">
        <v>9</v>
      </c>
      <c r="B13" s="67" t="s">
        <v>456</v>
      </c>
      <c r="C13" s="68">
        <f>0.000001*30</f>
        <v>2.9999999999999997E-5</v>
      </c>
      <c r="D13" s="162" t="s">
        <v>174</v>
      </c>
      <c r="E13" s="44"/>
      <c r="F13" s="78">
        <f>C13*G12</f>
        <v>1.1000099999999999</v>
      </c>
      <c r="G13" s="80"/>
      <c r="H13" s="44"/>
    </row>
    <row r="14" spans="1:10" ht="15.75" x14ac:dyDescent="0.25">
      <c r="A14" s="388"/>
      <c r="B14" s="67" t="s">
        <v>455</v>
      </c>
      <c r="C14" s="68">
        <f>0.00003375*30</f>
        <v>1.0124999999999999E-3</v>
      </c>
      <c r="D14" s="162" t="s">
        <v>174</v>
      </c>
      <c r="E14" s="44"/>
      <c r="F14" s="78">
        <f>C14*G12</f>
        <v>37.125337500000001</v>
      </c>
      <c r="G14" s="80"/>
      <c r="H14" s="44"/>
    </row>
    <row r="15" spans="1:10" ht="15.75" x14ac:dyDescent="0.25">
      <c r="A15" s="388"/>
      <c r="B15" s="67" t="s">
        <v>449</v>
      </c>
      <c r="C15" s="68">
        <f>0.00003375*30</f>
        <v>1.0124999999999999E-3</v>
      </c>
      <c r="D15" s="162" t="s">
        <v>174</v>
      </c>
      <c r="E15" s="44"/>
      <c r="F15" s="78">
        <f>C15*G12</f>
        <v>37.125337500000001</v>
      </c>
      <c r="G15" s="80"/>
      <c r="H15" s="44"/>
    </row>
    <row r="16" spans="1:10" ht="15.75" x14ac:dyDescent="0.25">
      <c r="A16" s="388"/>
      <c r="B16" s="67" t="s">
        <v>450</v>
      </c>
      <c r="C16" s="68">
        <f>0.000001*30</f>
        <v>2.9999999999999997E-5</v>
      </c>
      <c r="D16" s="162" t="s">
        <v>174</v>
      </c>
      <c r="E16" s="44"/>
      <c r="F16" s="78">
        <f>C16*G12</f>
        <v>1.1000099999999999</v>
      </c>
      <c r="G16" s="80"/>
      <c r="H16" s="44"/>
    </row>
    <row r="17" spans="1:8" ht="15.75" x14ac:dyDescent="0.25">
      <c r="A17" s="388"/>
      <c r="B17" s="67" t="s">
        <v>451</v>
      </c>
      <c r="C17" s="68">
        <f>0.00003*30</f>
        <v>8.9999999999999998E-4</v>
      </c>
      <c r="D17" s="162" t="s">
        <v>174</v>
      </c>
      <c r="E17" s="44"/>
      <c r="F17" s="78">
        <f>C17*G12</f>
        <v>33.000299999999996</v>
      </c>
      <c r="G17" s="80"/>
      <c r="H17" s="44"/>
    </row>
    <row r="18" spans="1:8" ht="15.75" x14ac:dyDescent="0.25">
      <c r="A18" s="386"/>
      <c r="B18" s="67" t="s">
        <v>44</v>
      </c>
      <c r="C18" s="68">
        <f>0.0000005*30</f>
        <v>1.4999999999999999E-5</v>
      </c>
      <c r="D18" s="162" t="s">
        <v>174</v>
      </c>
      <c r="E18" s="44"/>
      <c r="F18" s="78">
        <f>C18*G12</f>
        <v>0.55000499999999997</v>
      </c>
      <c r="G18" s="81"/>
      <c r="H18" s="44"/>
    </row>
    <row r="19" spans="1:8" ht="15.75" x14ac:dyDescent="0.25">
      <c r="A19" s="386"/>
      <c r="B19" s="67" t="s">
        <v>211</v>
      </c>
      <c r="C19" s="68">
        <v>5.718E-3</v>
      </c>
      <c r="D19" s="162" t="s">
        <v>174</v>
      </c>
      <c r="E19" s="44"/>
      <c r="F19" s="79">
        <f>C19*G12</f>
        <v>209.66190599999999</v>
      </c>
      <c r="G19" s="81"/>
      <c r="H19" s="44"/>
    </row>
    <row r="20" spans="1:8" ht="15.75" x14ac:dyDescent="0.25">
      <c r="A20" s="386"/>
      <c r="B20" s="67" t="s">
        <v>48</v>
      </c>
      <c r="C20" s="68">
        <v>1.4339999999999999E-3</v>
      </c>
      <c r="D20" s="162" t="s">
        <v>174</v>
      </c>
      <c r="E20" s="44"/>
      <c r="F20" s="79">
        <f>C20*G12</f>
        <v>52.580477999999999</v>
      </c>
      <c r="G20" s="81"/>
      <c r="H20" s="44"/>
    </row>
    <row r="21" spans="1:8" ht="15.75" x14ac:dyDescent="0.25">
      <c r="A21" s="386"/>
      <c r="B21" s="67" t="s">
        <v>12</v>
      </c>
      <c r="C21" s="68">
        <v>1</v>
      </c>
      <c r="D21" s="162" t="s">
        <v>161</v>
      </c>
      <c r="E21" s="44"/>
      <c r="F21" s="79">
        <f>C21*G12</f>
        <v>36667</v>
      </c>
      <c r="G21" s="56"/>
      <c r="H21" s="44"/>
    </row>
    <row r="22" spans="1:8" ht="15.75" x14ac:dyDescent="0.25">
      <c r="A22" s="386"/>
      <c r="B22" s="67" t="s">
        <v>13</v>
      </c>
      <c r="C22" s="68">
        <v>1</v>
      </c>
      <c r="D22" s="162" t="s">
        <v>161</v>
      </c>
      <c r="E22" s="44"/>
      <c r="F22" s="79">
        <f>C22*G12</f>
        <v>36667</v>
      </c>
      <c r="G22" s="56"/>
      <c r="H22" s="44"/>
    </row>
    <row r="23" spans="1:8" ht="15.75" x14ac:dyDescent="0.25">
      <c r="A23" s="386"/>
      <c r="B23" s="67" t="s">
        <v>14</v>
      </c>
      <c r="C23" s="68">
        <v>1</v>
      </c>
      <c r="D23" s="162" t="s">
        <v>161</v>
      </c>
      <c r="E23" s="44"/>
      <c r="F23" s="84">
        <f>C23*G12</f>
        <v>36667</v>
      </c>
    </row>
    <row r="24" spans="1:8" ht="15.75" x14ac:dyDescent="0.25">
      <c r="A24" s="387"/>
      <c r="B24" s="82" t="s">
        <v>49</v>
      </c>
      <c r="C24" s="69">
        <v>4.0000000000000001E-3</v>
      </c>
      <c r="D24" s="162" t="s">
        <v>161</v>
      </c>
      <c r="E24" s="44"/>
      <c r="F24" s="84">
        <v>184</v>
      </c>
    </row>
    <row r="27" spans="1:8" ht="15.75" x14ac:dyDescent="0.25">
      <c r="A27" s="124" t="s">
        <v>233</v>
      </c>
      <c r="B27" s="124" t="s">
        <v>233</v>
      </c>
      <c r="C27" s="125" t="s">
        <v>234</v>
      </c>
      <c r="D27" s="125"/>
    </row>
    <row r="28" spans="1:8" ht="15.75" x14ac:dyDescent="0.25">
      <c r="A28" s="122" t="s">
        <v>235</v>
      </c>
      <c r="B28" s="122" t="s">
        <v>236</v>
      </c>
      <c r="C28" s="123" t="s">
        <v>237</v>
      </c>
      <c r="D28" s="123"/>
    </row>
    <row r="29" spans="1:8" ht="15.75" x14ac:dyDescent="0.25">
      <c r="A29" s="122" t="s">
        <v>238</v>
      </c>
      <c r="B29" s="122" t="s">
        <v>239</v>
      </c>
      <c r="C29" s="123" t="s">
        <v>240</v>
      </c>
      <c r="D29" s="123"/>
    </row>
    <row r="30" spans="1:8" x14ac:dyDescent="0.25">
      <c r="A30" s="121"/>
      <c r="B30" s="121"/>
    </row>
    <row r="31" spans="1:8" x14ac:dyDescent="0.25">
      <c r="A31" s="121"/>
      <c r="B31" s="121"/>
    </row>
    <row r="32" spans="1:8" x14ac:dyDescent="0.25">
      <c r="A32" s="121"/>
      <c r="B32" s="121"/>
    </row>
  </sheetData>
  <mergeCells count="1">
    <mergeCell ref="A13:A24"/>
  </mergeCells>
  <pageMargins left="0.7" right="0.7" top="0.75" bottom="0.75" header="0.3" footer="0.3"/>
  <pageSetup paperSize="9" orientation="landscape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0"/>
  <dimension ref="A3:J33"/>
  <sheetViews>
    <sheetView topLeftCell="A7" workbookViewId="0">
      <selection activeCell="H30" sqref="H30"/>
    </sheetView>
  </sheetViews>
  <sheetFormatPr baseColWidth="10" defaultRowHeight="15" x14ac:dyDescent="0.25"/>
  <cols>
    <col min="1" max="1" width="26.140625" style="162" customWidth="1"/>
    <col min="2" max="2" width="40.42578125" style="162" customWidth="1"/>
    <col min="3" max="3" width="12" style="162" customWidth="1"/>
    <col min="4" max="4" width="5.5703125" style="162" customWidth="1"/>
    <col min="5" max="5" width="12.5703125" style="162" customWidth="1"/>
    <col min="6" max="6" width="11.42578125" style="162"/>
    <col min="7" max="7" width="12.42578125" style="162" bestFit="1" customWidth="1"/>
    <col min="8" max="9" width="11.42578125" style="162"/>
    <col min="10" max="10" width="12" style="162" bestFit="1" customWidth="1"/>
    <col min="11" max="16384" width="11.42578125" style="162"/>
  </cols>
  <sheetData>
    <row r="3" spans="1:10" ht="20.25" x14ac:dyDescent="0.3">
      <c r="A3" s="57"/>
      <c r="B3" s="59" t="s">
        <v>0</v>
      </c>
      <c r="C3" s="57"/>
      <c r="D3" s="57"/>
    </row>
    <row r="4" spans="1:10" ht="15.75" x14ac:dyDescent="0.25">
      <c r="A4" s="57"/>
      <c r="B4" s="57"/>
      <c r="C4" s="57"/>
      <c r="D4" s="57"/>
    </row>
    <row r="5" spans="1:10" ht="20.25" x14ac:dyDescent="0.3">
      <c r="A5" s="59"/>
      <c r="B5" s="59" t="s">
        <v>452</v>
      </c>
      <c r="C5" s="57"/>
      <c r="D5" s="57"/>
    </row>
    <row r="6" spans="1:10" ht="20.25" x14ac:dyDescent="0.3">
      <c r="A6" s="59"/>
      <c r="B6" s="57"/>
      <c r="C6" s="57"/>
      <c r="D6" s="57"/>
    </row>
    <row r="7" spans="1:10" ht="15.75" x14ac:dyDescent="0.25">
      <c r="A7" s="58" t="s">
        <v>444</v>
      </c>
      <c r="B7" s="58" t="s">
        <v>453</v>
      </c>
      <c r="C7" s="60"/>
      <c r="D7" s="60"/>
    </row>
    <row r="8" spans="1:10" ht="15.75" x14ac:dyDescent="0.25">
      <c r="A8" s="58" t="s">
        <v>2</v>
      </c>
      <c r="B8" s="58" t="s">
        <v>446</v>
      </c>
      <c r="C8" s="60"/>
      <c r="D8" s="60"/>
      <c r="J8" s="162">
        <f>SUM(C13:C19)</f>
        <v>2.9999999999999996E-3</v>
      </c>
    </row>
    <row r="9" spans="1:10" ht="16.5" thickBot="1" x14ac:dyDescent="0.3">
      <c r="A9" s="58" t="s">
        <v>4</v>
      </c>
      <c r="B9" s="58" t="s">
        <v>447</v>
      </c>
      <c r="C9" s="60"/>
      <c r="D9" s="60"/>
    </row>
    <row r="10" spans="1:10" ht="16.5" thickBot="1" x14ac:dyDescent="0.3">
      <c r="A10" s="58" t="s">
        <v>5</v>
      </c>
      <c r="B10" s="188" t="s">
        <v>40</v>
      </c>
      <c r="C10" s="60"/>
      <c r="D10" s="60"/>
      <c r="F10" s="104" t="s">
        <v>230</v>
      </c>
      <c r="G10" s="76"/>
      <c r="H10" s="106"/>
    </row>
    <row r="11" spans="1:10" ht="15.75" x14ac:dyDescent="0.25">
      <c r="A11" s="58" t="s">
        <v>6</v>
      </c>
      <c r="B11" s="58" t="s">
        <v>92</v>
      </c>
      <c r="C11" s="60"/>
      <c r="D11" s="60"/>
      <c r="F11" s="62" t="s">
        <v>158</v>
      </c>
      <c r="G11" s="56">
        <v>110</v>
      </c>
      <c r="H11" s="105"/>
    </row>
    <row r="12" spans="1:10" ht="15.75" x14ac:dyDescent="0.25">
      <c r="A12" s="58" t="s">
        <v>8</v>
      </c>
      <c r="B12" s="58"/>
      <c r="C12" s="60"/>
      <c r="D12" s="60"/>
      <c r="E12" s="44" t="s">
        <v>327</v>
      </c>
      <c r="F12" s="62" t="s">
        <v>160</v>
      </c>
      <c r="G12" s="56">
        <v>36667</v>
      </c>
      <c r="H12" s="44"/>
    </row>
    <row r="13" spans="1:10" ht="15.75" x14ac:dyDescent="0.25">
      <c r="A13" s="385" t="s">
        <v>9</v>
      </c>
      <c r="B13" s="67" t="s">
        <v>456</v>
      </c>
      <c r="C13" s="68">
        <f>0.0000025*30</f>
        <v>7.5000000000000007E-5</v>
      </c>
      <c r="D13" s="162" t="s">
        <v>174</v>
      </c>
      <c r="E13" s="44"/>
      <c r="F13" s="78">
        <f>C13*G12</f>
        <v>2.7500250000000004</v>
      </c>
      <c r="G13" s="80"/>
      <c r="H13" s="44"/>
    </row>
    <row r="14" spans="1:10" ht="15.75" x14ac:dyDescent="0.25">
      <c r="A14" s="388"/>
      <c r="B14" s="67" t="s">
        <v>448</v>
      </c>
      <c r="C14" s="68">
        <f>0.0000328*30</f>
        <v>9.8399999999999985E-4</v>
      </c>
      <c r="D14" s="162" t="s">
        <v>174</v>
      </c>
      <c r="E14" s="44"/>
      <c r="F14" s="78">
        <f>C14*G12</f>
        <v>36.080327999999994</v>
      </c>
      <c r="G14" s="80"/>
      <c r="H14" s="44"/>
    </row>
    <row r="15" spans="1:10" ht="15.75" x14ac:dyDescent="0.25">
      <c r="A15" s="388"/>
      <c r="B15" s="67" t="s">
        <v>449</v>
      </c>
      <c r="C15" s="68">
        <f>0.0000328*30</f>
        <v>9.8399999999999985E-4</v>
      </c>
      <c r="D15" s="162" t="s">
        <v>174</v>
      </c>
      <c r="E15" s="44"/>
      <c r="F15" s="78">
        <f>C15*G12</f>
        <v>36.080327999999994</v>
      </c>
      <c r="G15" s="80"/>
      <c r="H15" s="44"/>
    </row>
    <row r="16" spans="1:10" ht="15.75" x14ac:dyDescent="0.25">
      <c r="A16" s="388"/>
      <c r="B16" s="67" t="s">
        <v>450</v>
      </c>
      <c r="C16" s="68">
        <f>0.000001*30</f>
        <v>2.9999999999999997E-5</v>
      </c>
      <c r="D16" s="162" t="s">
        <v>174</v>
      </c>
      <c r="E16" s="44"/>
      <c r="F16" s="78">
        <f>C16*G12</f>
        <v>1.1000099999999999</v>
      </c>
      <c r="G16" s="80"/>
      <c r="H16" s="44"/>
    </row>
    <row r="17" spans="1:8" ht="15.75" x14ac:dyDescent="0.25">
      <c r="A17" s="388"/>
      <c r="B17" s="67" t="s">
        <v>451</v>
      </c>
      <c r="C17" s="68">
        <f>0.00003*30</f>
        <v>8.9999999999999998E-4</v>
      </c>
      <c r="D17" s="162" t="s">
        <v>174</v>
      </c>
      <c r="E17" s="44"/>
      <c r="F17" s="78">
        <f>C17*G12</f>
        <v>33.000299999999996</v>
      </c>
      <c r="G17" s="80"/>
      <c r="H17" s="44"/>
    </row>
    <row r="18" spans="1:8" ht="15.75" x14ac:dyDescent="0.25">
      <c r="A18" s="386"/>
      <c r="B18" s="67" t="s">
        <v>44</v>
      </c>
      <c r="C18" s="68">
        <f>0.0000005*30</f>
        <v>1.4999999999999999E-5</v>
      </c>
      <c r="D18" s="162" t="s">
        <v>174</v>
      </c>
      <c r="E18" s="44"/>
      <c r="F18" s="78">
        <f>C18*G12</f>
        <v>0.55000499999999997</v>
      </c>
      <c r="G18" s="81"/>
      <c r="H18" s="44"/>
    </row>
    <row r="19" spans="1:8" ht="15.75" x14ac:dyDescent="0.25">
      <c r="A19" s="386"/>
      <c r="B19" s="67" t="s">
        <v>454</v>
      </c>
      <c r="C19" s="68">
        <f>0.0000004*30</f>
        <v>1.2E-5</v>
      </c>
      <c r="E19" s="44"/>
      <c r="F19" s="78">
        <f>C19*G12</f>
        <v>0.44000400000000001</v>
      </c>
      <c r="G19" s="81"/>
      <c r="H19" s="44"/>
    </row>
    <row r="20" spans="1:8" ht="15.75" x14ac:dyDescent="0.25">
      <c r="A20" s="386"/>
      <c r="B20" s="67" t="s">
        <v>211</v>
      </c>
      <c r="C20" s="68">
        <v>5.718E-3</v>
      </c>
      <c r="D20" s="162" t="s">
        <v>174</v>
      </c>
      <c r="E20" s="44"/>
      <c r="F20" s="79">
        <f>C20*G12</f>
        <v>209.66190599999999</v>
      </c>
      <c r="G20" s="81"/>
      <c r="H20" s="44"/>
    </row>
    <row r="21" spans="1:8" ht="15.75" x14ac:dyDescent="0.25">
      <c r="A21" s="386"/>
      <c r="B21" s="67" t="s">
        <v>48</v>
      </c>
      <c r="C21" s="68">
        <v>1.4339999999999999E-3</v>
      </c>
      <c r="D21" s="162" t="s">
        <v>174</v>
      </c>
      <c r="E21" s="44"/>
      <c r="F21" s="79">
        <f>C21*G12</f>
        <v>52.580477999999999</v>
      </c>
      <c r="G21" s="81"/>
      <c r="H21" s="44"/>
    </row>
    <row r="22" spans="1:8" ht="15.75" x14ac:dyDescent="0.25">
      <c r="A22" s="386"/>
      <c r="B22" s="67" t="s">
        <v>12</v>
      </c>
      <c r="C22" s="68">
        <v>1</v>
      </c>
      <c r="D22" s="162" t="s">
        <v>161</v>
      </c>
      <c r="E22" s="44"/>
      <c r="F22" s="79">
        <f>C22*G12</f>
        <v>36667</v>
      </c>
      <c r="G22" s="56"/>
      <c r="H22" s="44"/>
    </row>
    <row r="23" spans="1:8" ht="15.75" x14ac:dyDescent="0.25">
      <c r="A23" s="386"/>
      <c r="B23" s="67" t="s">
        <v>13</v>
      </c>
      <c r="C23" s="68">
        <v>1</v>
      </c>
      <c r="D23" s="162" t="s">
        <v>161</v>
      </c>
      <c r="E23" s="44"/>
      <c r="F23" s="79">
        <f>C23*G12</f>
        <v>36667</v>
      </c>
      <c r="G23" s="56"/>
      <c r="H23" s="44"/>
    </row>
    <row r="24" spans="1:8" ht="15.75" x14ac:dyDescent="0.25">
      <c r="A24" s="386"/>
      <c r="B24" s="67" t="s">
        <v>14</v>
      </c>
      <c r="C24" s="68">
        <v>1</v>
      </c>
      <c r="D24" s="162" t="s">
        <v>161</v>
      </c>
      <c r="E24" s="44"/>
      <c r="F24" s="84">
        <f>C24*G12</f>
        <v>36667</v>
      </c>
    </row>
    <row r="25" spans="1:8" ht="15.75" x14ac:dyDescent="0.25">
      <c r="A25" s="387"/>
      <c r="B25" s="82" t="s">
        <v>49</v>
      </c>
      <c r="C25" s="69">
        <v>4.0000000000000001E-3</v>
      </c>
      <c r="D25" s="162" t="s">
        <v>161</v>
      </c>
      <c r="E25" s="44"/>
      <c r="F25" s="84">
        <v>184</v>
      </c>
    </row>
    <row r="28" spans="1:8" ht="15.75" x14ac:dyDescent="0.25">
      <c r="A28" s="124" t="s">
        <v>233</v>
      </c>
      <c r="B28" s="124" t="s">
        <v>233</v>
      </c>
      <c r="C28" s="125" t="s">
        <v>234</v>
      </c>
      <c r="D28" s="125"/>
    </row>
    <row r="29" spans="1:8" ht="15.75" x14ac:dyDescent="0.25">
      <c r="A29" s="122" t="s">
        <v>235</v>
      </c>
      <c r="B29" s="122" t="s">
        <v>236</v>
      </c>
      <c r="C29" s="123" t="s">
        <v>237</v>
      </c>
      <c r="D29" s="123"/>
    </row>
    <row r="30" spans="1:8" ht="15.75" x14ac:dyDescent="0.25">
      <c r="A30" s="122" t="s">
        <v>238</v>
      </c>
      <c r="B30" s="122" t="s">
        <v>239</v>
      </c>
      <c r="C30" s="123" t="s">
        <v>240</v>
      </c>
      <c r="D30" s="123"/>
    </row>
    <row r="31" spans="1:8" x14ac:dyDescent="0.25">
      <c r="A31" s="121"/>
      <c r="B31" s="121"/>
    </row>
    <row r="32" spans="1:8" x14ac:dyDescent="0.25">
      <c r="A32" s="121"/>
      <c r="B32" s="121"/>
    </row>
    <row r="33" spans="1:2" x14ac:dyDescent="0.25">
      <c r="A33" s="121"/>
      <c r="B33" s="121"/>
    </row>
  </sheetData>
  <mergeCells count="1">
    <mergeCell ref="A13:A25"/>
  </mergeCells>
  <pageMargins left="0.7" right="0.7" top="0.75" bottom="0.75" header="0.3" footer="0.3"/>
  <pageSetup paperSize="9" orientation="landscape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1"/>
  <dimension ref="A3:H38"/>
  <sheetViews>
    <sheetView topLeftCell="A4" workbookViewId="0">
      <selection activeCell="E17" sqref="E17"/>
    </sheetView>
  </sheetViews>
  <sheetFormatPr baseColWidth="10" defaultRowHeight="15" x14ac:dyDescent="0.25"/>
  <cols>
    <col min="1" max="1" width="29.7109375" customWidth="1"/>
    <col min="2" max="2" width="37.85546875" customWidth="1"/>
    <col min="3" max="3" width="13.42578125" customWidth="1"/>
    <col min="4" max="4" width="13.42578125" style="162" customWidth="1"/>
  </cols>
  <sheetData>
    <row r="3" spans="1:8" ht="20.25" x14ac:dyDescent="0.3">
      <c r="A3" s="57"/>
      <c r="B3" s="59" t="s">
        <v>0</v>
      </c>
      <c r="C3" s="57"/>
      <c r="D3" s="57"/>
    </row>
    <row r="4" spans="1:8" ht="15.75" x14ac:dyDescent="0.25">
      <c r="A4" s="57"/>
      <c r="B4" s="57"/>
      <c r="C4" s="57"/>
      <c r="D4" s="57"/>
    </row>
    <row r="5" spans="1:8" ht="20.25" x14ac:dyDescent="0.3">
      <c r="A5" s="59"/>
      <c r="B5" s="59" t="s">
        <v>212</v>
      </c>
      <c r="C5" s="57"/>
      <c r="D5" s="57"/>
    </row>
    <row r="6" spans="1:8" ht="20.25" x14ac:dyDescent="0.3">
      <c r="A6" s="59"/>
      <c r="B6" s="57"/>
      <c r="C6" s="57"/>
      <c r="D6" s="57"/>
    </row>
    <row r="7" spans="1:8" ht="15.75" x14ac:dyDescent="0.25">
      <c r="A7" s="58" t="s">
        <v>90</v>
      </c>
      <c r="B7" s="58" t="s">
        <v>79</v>
      </c>
      <c r="C7" s="60"/>
      <c r="D7" s="60"/>
    </row>
    <row r="8" spans="1:8" ht="15.75" x14ac:dyDescent="0.25">
      <c r="A8" s="58" t="s">
        <v>2</v>
      </c>
      <c r="B8" s="58" t="s">
        <v>38</v>
      </c>
      <c r="C8" s="60"/>
      <c r="D8" s="60"/>
    </row>
    <row r="9" spans="1:8" ht="16.5" thickBot="1" x14ac:dyDescent="0.3">
      <c r="A9" s="58" t="s">
        <v>4</v>
      </c>
      <c r="B9" s="58" t="s">
        <v>39</v>
      </c>
      <c r="C9" s="60"/>
      <c r="D9" s="60"/>
    </row>
    <row r="10" spans="1:8" ht="16.5" thickBot="1" x14ac:dyDescent="0.3">
      <c r="A10" s="58" t="s">
        <v>5</v>
      </c>
      <c r="B10" s="58" t="s">
        <v>40</v>
      </c>
      <c r="C10" s="60"/>
      <c r="D10" s="60"/>
      <c r="F10" s="104" t="s">
        <v>230</v>
      </c>
      <c r="G10" s="76"/>
      <c r="H10" s="106"/>
    </row>
    <row r="11" spans="1:8" ht="15.75" x14ac:dyDescent="0.25">
      <c r="A11" s="58" t="s">
        <v>6</v>
      </c>
      <c r="B11" s="58" t="s">
        <v>213</v>
      </c>
      <c r="C11" s="60"/>
      <c r="D11" s="60"/>
      <c r="F11" s="62" t="s">
        <v>158</v>
      </c>
      <c r="G11" s="56">
        <v>210</v>
      </c>
      <c r="H11" s="105"/>
    </row>
    <row r="12" spans="1:8" ht="15.75" x14ac:dyDescent="0.25">
      <c r="A12" s="58" t="s">
        <v>8</v>
      </c>
      <c r="B12" s="58"/>
      <c r="C12" s="60"/>
      <c r="D12" s="60"/>
      <c r="E12" s="44" t="s">
        <v>328</v>
      </c>
      <c r="F12" s="62" t="s">
        <v>160</v>
      </c>
      <c r="G12" s="133">
        <f>210*1000/4.05</f>
        <v>51851.851851851854</v>
      </c>
      <c r="H12" s="44"/>
    </row>
    <row r="13" spans="1:8" ht="15.75" x14ac:dyDescent="0.25">
      <c r="A13" s="385" t="s">
        <v>9</v>
      </c>
      <c r="B13" s="67" t="s">
        <v>214</v>
      </c>
      <c r="C13" s="68">
        <v>1.5E-3</v>
      </c>
      <c r="D13" t="s">
        <v>174</v>
      </c>
      <c r="E13" s="162" t="s">
        <v>329</v>
      </c>
      <c r="F13" s="108">
        <f>C13*G12</f>
        <v>77.777777777777786</v>
      </c>
      <c r="G13" s="80"/>
      <c r="H13" s="44"/>
    </row>
    <row r="14" spans="1:8" ht="15.75" x14ac:dyDescent="0.25">
      <c r="A14" s="388"/>
      <c r="B14" s="67" t="s">
        <v>43</v>
      </c>
      <c r="C14" s="68">
        <v>1.2675E-3</v>
      </c>
      <c r="D14" t="s">
        <v>174</v>
      </c>
      <c r="E14" s="162" t="s">
        <v>330</v>
      </c>
      <c r="F14" s="108">
        <f>C14*G12</f>
        <v>65.722222222222229</v>
      </c>
      <c r="G14" s="80"/>
      <c r="H14" s="44"/>
    </row>
    <row r="15" spans="1:8" ht="15.75" x14ac:dyDescent="0.25">
      <c r="A15" s="388"/>
      <c r="B15" s="67" t="s">
        <v>45</v>
      </c>
      <c r="C15" s="68">
        <v>1.2675E-3</v>
      </c>
      <c r="D15" t="s">
        <v>174</v>
      </c>
      <c r="E15" s="162" t="s">
        <v>331</v>
      </c>
      <c r="F15" s="108">
        <f>C15*G12</f>
        <v>65.722222222222229</v>
      </c>
      <c r="G15" s="80"/>
      <c r="H15" s="44"/>
    </row>
    <row r="16" spans="1:8" ht="15.75" x14ac:dyDescent="0.25">
      <c r="A16" s="386"/>
      <c r="B16" s="67" t="s">
        <v>44</v>
      </c>
      <c r="C16" s="68">
        <v>1.5E-5</v>
      </c>
      <c r="D16" t="s">
        <v>174</v>
      </c>
      <c r="E16" s="162" t="s">
        <v>285</v>
      </c>
      <c r="F16" s="108">
        <f>C16*G12</f>
        <v>0.77777777777777779</v>
      </c>
      <c r="G16" s="80"/>
      <c r="H16" s="44"/>
    </row>
    <row r="17" spans="1:8" ht="15.75" x14ac:dyDescent="0.25">
      <c r="A17" s="386"/>
      <c r="B17" s="67" t="s">
        <v>46</v>
      </c>
      <c r="C17" s="68">
        <v>30</v>
      </c>
      <c r="D17" t="s">
        <v>174</v>
      </c>
      <c r="E17" s="162" t="s">
        <v>332</v>
      </c>
      <c r="F17" s="79">
        <f>C17*G12</f>
        <v>1555555.5555555555</v>
      </c>
      <c r="G17" s="81"/>
      <c r="H17" s="44"/>
    </row>
    <row r="18" spans="1:8" ht="15.75" x14ac:dyDescent="0.25">
      <c r="A18" s="386"/>
      <c r="B18" s="67" t="s">
        <v>211</v>
      </c>
      <c r="C18" s="68">
        <v>5.718E-3</v>
      </c>
      <c r="D18" t="s">
        <v>174</v>
      </c>
      <c r="E18" s="44"/>
      <c r="F18" s="79">
        <f>C18*G12</f>
        <v>296.48888888888888</v>
      </c>
      <c r="G18" s="81"/>
      <c r="H18" s="44"/>
    </row>
    <row r="19" spans="1:8" ht="15.75" x14ac:dyDescent="0.25">
      <c r="A19" s="386"/>
      <c r="B19" s="67" t="s">
        <v>48</v>
      </c>
      <c r="C19" s="68">
        <v>1.4339999999999999E-3</v>
      </c>
      <c r="D19" t="s">
        <v>174</v>
      </c>
      <c r="E19" s="44"/>
      <c r="F19" s="79">
        <f>C19*G12</f>
        <v>74.355555555555554</v>
      </c>
      <c r="G19" s="81"/>
      <c r="H19" s="44"/>
    </row>
    <row r="20" spans="1:8" ht="15.75" x14ac:dyDescent="0.25">
      <c r="A20" s="386"/>
      <c r="B20" s="67" t="s">
        <v>12</v>
      </c>
      <c r="C20" s="68">
        <v>1</v>
      </c>
      <c r="D20" t="s">
        <v>161</v>
      </c>
      <c r="E20" s="44"/>
      <c r="F20" s="79">
        <f>C20*G12</f>
        <v>51851.851851851854</v>
      </c>
      <c r="G20" s="81"/>
      <c r="H20" s="44"/>
    </row>
    <row r="21" spans="1:8" ht="15.75" x14ac:dyDescent="0.25">
      <c r="A21" s="386"/>
      <c r="B21" s="67" t="s">
        <v>13</v>
      </c>
      <c r="C21" s="68">
        <v>1</v>
      </c>
      <c r="D21" t="s">
        <v>161</v>
      </c>
      <c r="E21" s="44"/>
      <c r="F21" s="79">
        <f>C21*G12</f>
        <v>51851.851851851854</v>
      </c>
      <c r="G21" s="56"/>
      <c r="H21" s="44"/>
    </row>
    <row r="22" spans="1:8" ht="15.75" x14ac:dyDescent="0.25">
      <c r="A22" s="386"/>
      <c r="B22" s="67" t="s">
        <v>14</v>
      </c>
      <c r="C22" s="68">
        <v>1</v>
      </c>
      <c r="D22" t="s">
        <v>161</v>
      </c>
      <c r="E22" s="44"/>
      <c r="F22" s="79">
        <f>C22*G12</f>
        <v>51851.851851851854</v>
      </c>
      <c r="G22" s="56"/>
      <c r="H22" s="44"/>
    </row>
    <row r="23" spans="1:8" ht="15.75" x14ac:dyDescent="0.25">
      <c r="A23" s="387"/>
      <c r="B23" s="82" t="s">
        <v>49</v>
      </c>
      <c r="C23" s="69">
        <v>5.0000000000000001E-3</v>
      </c>
      <c r="D23" t="s">
        <v>161</v>
      </c>
      <c r="E23" s="44"/>
      <c r="F23" s="88">
        <f>C23*G12</f>
        <v>259.2592592592593</v>
      </c>
      <c r="H23" s="44"/>
    </row>
    <row r="24" spans="1:8" x14ac:dyDescent="0.25">
      <c r="F24" s="89"/>
    </row>
    <row r="25" spans="1:8" x14ac:dyDescent="0.25">
      <c r="A25" s="62" t="s">
        <v>97</v>
      </c>
      <c r="B25" s="62"/>
      <c r="C25" s="56"/>
      <c r="D25" s="56"/>
    </row>
    <row r="26" spans="1:8" x14ac:dyDescent="0.25">
      <c r="A26" s="62" t="s">
        <v>98</v>
      </c>
      <c r="B26" s="62"/>
      <c r="C26" s="56"/>
      <c r="D26" s="56"/>
    </row>
    <row r="27" spans="1:8" x14ac:dyDescent="0.25">
      <c r="A27" s="62" t="s">
        <v>101</v>
      </c>
      <c r="B27" s="62"/>
      <c r="C27" s="56"/>
      <c r="D27" s="56"/>
    </row>
    <row r="28" spans="1:8" x14ac:dyDescent="0.25">
      <c r="A28" s="62" t="s">
        <v>61</v>
      </c>
      <c r="B28" s="62"/>
      <c r="C28" s="56"/>
      <c r="D28" s="56"/>
    </row>
    <row r="29" spans="1:8" x14ac:dyDescent="0.25">
      <c r="A29" s="62" t="s">
        <v>62</v>
      </c>
      <c r="B29" s="62"/>
      <c r="C29" s="56"/>
      <c r="D29" s="56"/>
    </row>
    <row r="30" spans="1:8" x14ac:dyDescent="0.25">
      <c r="A30" s="62" t="s">
        <v>27</v>
      </c>
      <c r="B30" s="62"/>
      <c r="C30" s="56"/>
      <c r="D30" s="56"/>
    </row>
    <row r="31" spans="1:8" x14ac:dyDescent="0.25">
      <c r="A31" s="63" t="s">
        <v>64</v>
      </c>
      <c r="B31" s="62"/>
      <c r="C31" s="56"/>
      <c r="D31" s="56"/>
    </row>
    <row r="33" spans="1:4" ht="15.75" x14ac:dyDescent="0.25">
      <c r="A33" s="124" t="s">
        <v>233</v>
      </c>
      <c r="B33" s="124" t="s">
        <v>233</v>
      </c>
      <c r="C33" s="125" t="s">
        <v>234</v>
      </c>
      <c r="D33" s="125"/>
    </row>
    <row r="34" spans="1:4" ht="15.75" x14ac:dyDescent="0.25">
      <c r="A34" s="122" t="s">
        <v>235</v>
      </c>
      <c r="B34" s="122" t="s">
        <v>236</v>
      </c>
      <c r="C34" s="123" t="s">
        <v>237</v>
      </c>
      <c r="D34" s="123"/>
    </row>
    <row r="35" spans="1:4" ht="15.75" x14ac:dyDescent="0.25">
      <c r="A35" s="122" t="s">
        <v>238</v>
      </c>
      <c r="B35" s="122" t="s">
        <v>239</v>
      </c>
      <c r="C35" s="123" t="s">
        <v>240</v>
      </c>
      <c r="D35" s="123"/>
    </row>
    <row r="36" spans="1:4" x14ac:dyDescent="0.25">
      <c r="A36" s="121"/>
      <c r="B36" s="121"/>
    </row>
    <row r="37" spans="1:4" x14ac:dyDescent="0.25">
      <c r="A37" s="121"/>
      <c r="B37" s="121"/>
    </row>
    <row r="38" spans="1:4" x14ac:dyDescent="0.25">
      <c r="A38" s="121"/>
      <c r="B38" s="121"/>
    </row>
  </sheetData>
  <mergeCells count="1">
    <mergeCell ref="A13:A23"/>
  </mergeCells>
  <pageMargins left="0.7" right="0.7" top="0.75" bottom="0.75" header="0.3" footer="0.3"/>
  <pageSetup paperSize="9" orientation="portrait" verticalDpi="0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2"/>
  <dimension ref="A1:H28"/>
  <sheetViews>
    <sheetView workbookViewId="0">
      <selection activeCell="H13" sqref="H13:H14"/>
    </sheetView>
  </sheetViews>
  <sheetFormatPr baseColWidth="10" defaultRowHeight="15" x14ac:dyDescent="0.25"/>
  <cols>
    <col min="1" max="1" width="27.140625" customWidth="1"/>
    <col min="2" max="2" width="34.28515625" customWidth="1"/>
    <col min="4" max="4" width="11.42578125" style="162"/>
    <col min="7" max="7" width="7" customWidth="1"/>
  </cols>
  <sheetData>
    <row r="1" spans="1:8" x14ac:dyDescent="0.25">
      <c r="A1" t="s">
        <v>471</v>
      </c>
    </row>
    <row r="3" spans="1:8" ht="20.25" x14ac:dyDescent="0.3">
      <c r="A3" s="57"/>
      <c r="B3" s="59" t="s">
        <v>0</v>
      </c>
      <c r="C3" s="57"/>
      <c r="D3" s="57"/>
    </row>
    <row r="4" spans="1:8" ht="15.75" x14ac:dyDescent="0.25">
      <c r="A4" s="57"/>
      <c r="B4" s="57"/>
      <c r="C4" s="57"/>
      <c r="D4" s="57"/>
    </row>
    <row r="5" spans="1:8" ht="20.25" x14ac:dyDescent="0.3">
      <c r="A5" s="56"/>
      <c r="B5" s="59" t="s">
        <v>215</v>
      </c>
      <c r="C5" s="57"/>
      <c r="D5" s="57"/>
    </row>
    <row r="6" spans="1:8" ht="20.25" x14ac:dyDescent="0.3">
      <c r="A6" s="59"/>
      <c r="B6" s="57"/>
      <c r="C6" s="57"/>
      <c r="D6" s="57"/>
    </row>
    <row r="7" spans="1:8" ht="15.75" x14ac:dyDescent="0.25">
      <c r="A7" s="58" t="s">
        <v>1</v>
      </c>
      <c r="B7" s="58" t="s">
        <v>29</v>
      </c>
      <c r="C7" s="60"/>
      <c r="D7" s="60"/>
    </row>
    <row r="8" spans="1:8" ht="15.75" x14ac:dyDescent="0.25">
      <c r="A8" s="58" t="s">
        <v>2</v>
      </c>
      <c r="B8" s="58" t="s">
        <v>3</v>
      </c>
      <c r="C8" s="60"/>
      <c r="D8" s="60"/>
    </row>
    <row r="9" spans="1:8" ht="16.5" thickBot="1" x14ac:dyDescent="0.3">
      <c r="A9" s="58" t="s">
        <v>4</v>
      </c>
      <c r="B9" s="58" t="s">
        <v>30</v>
      </c>
      <c r="C9" s="60"/>
      <c r="D9" s="60"/>
      <c r="E9" s="56"/>
    </row>
    <row r="10" spans="1:8" ht="16.5" thickBot="1" x14ac:dyDescent="0.3">
      <c r="A10" s="58" t="s">
        <v>5</v>
      </c>
      <c r="B10" s="58" t="s">
        <v>31</v>
      </c>
      <c r="C10" s="60"/>
      <c r="D10" s="60"/>
      <c r="E10" s="56"/>
      <c r="F10" s="77" t="s">
        <v>156</v>
      </c>
      <c r="G10" s="76"/>
      <c r="H10" s="103" t="s">
        <v>157</v>
      </c>
    </row>
    <row r="11" spans="1:8" ht="15.75" x14ac:dyDescent="0.25">
      <c r="A11" s="58" t="s">
        <v>6</v>
      </c>
      <c r="B11" s="58" t="s">
        <v>213</v>
      </c>
      <c r="C11" s="60"/>
      <c r="D11" s="60"/>
      <c r="E11" s="56"/>
      <c r="F11" s="62" t="s">
        <v>158</v>
      </c>
      <c r="G11" s="56"/>
      <c r="H11" s="44">
        <v>214.5</v>
      </c>
    </row>
    <row r="12" spans="1:8" ht="16.5" thickBot="1" x14ac:dyDescent="0.3">
      <c r="A12" s="58" t="s">
        <v>8</v>
      </c>
      <c r="B12" s="58"/>
      <c r="C12" s="60"/>
      <c r="D12" s="60"/>
      <c r="E12" s="174" t="s">
        <v>319</v>
      </c>
      <c r="F12" s="62" t="s">
        <v>160</v>
      </c>
      <c r="G12" s="56"/>
      <c r="H12" s="44">
        <f>H11*1000/16.5</f>
        <v>13000</v>
      </c>
    </row>
    <row r="13" spans="1:8" ht="15.75" x14ac:dyDescent="0.25">
      <c r="A13" s="378" t="s">
        <v>9</v>
      </c>
      <c r="B13" s="64" t="s">
        <v>32</v>
      </c>
      <c r="C13" s="70">
        <v>1.55E-2</v>
      </c>
      <c r="D13" s="56" t="s">
        <v>174</v>
      </c>
      <c r="E13" s="44" t="s">
        <v>289</v>
      </c>
      <c r="F13" s="389" t="s">
        <v>243</v>
      </c>
      <c r="G13" s="390"/>
      <c r="H13" s="44">
        <f>C13*H12</f>
        <v>201.5</v>
      </c>
    </row>
    <row r="14" spans="1:8" ht="15.75" x14ac:dyDescent="0.25">
      <c r="A14" s="379"/>
      <c r="B14" s="61" t="s">
        <v>214</v>
      </c>
      <c r="C14" s="71">
        <v>1E-3</v>
      </c>
      <c r="D14" s="56" t="s">
        <v>174</v>
      </c>
      <c r="E14" s="44" t="s">
        <v>323</v>
      </c>
      <c r="F14" s="391"/>
      <c r="G14" s="390"/>
      <c r="H14" s="44">
        <f>C14*H12</f>
        <v>13</v>
      </c>
    </row>
    <row r="15" spans="1:8" ht="15.75" x14ac:dyDescent="0.25">
      <c r="A15" s="379"/>
      <c r="B15" s="61" t="s">
        <v>10</v>
      </c>
      <c r="C15" s="71">
        <v>1.818E-3</v>
      </c>
      <c r="D15" s="56" t="s">
        <v>174</v>
      </c>
      <c r="E15" s="44" t="s">
        <v>291</v>
      </c>
      <c r="F15" s="391"/>
      <c r="G15" s="390"/>
      <c r="H15" s="44">
        <f>C15*H12</f>
        <v>23.634</v>
      </c>
    </row>
    <row r="16" spans="1:8" ht="15.75" x14ac:dyDescent="0.25">
      <c r="A16" s="379"/>
      <c r="B16" s="61" t="s">
        <v>11</v>
      </c>
      <c r="C16" s="71">
        <v>1.6559999999999999E-3</v>
      </c>
      <c r="D16" s="56" t="s">
        <v>174</v>
      </c>
      <c r="E16" s="44" t="s">
        <v>324</v>
      </c>
      <c r="F16" s="391"/>
      <c r="G16" s="390"/>
      <c r="H16" s="44">
        <f>C16*H12</f>
        <v>21.527999999999999</v>
      </c>
    </row>
    <row r="17" spans="1:8" ht="15.75" x14ac:dyDescent="0.25">
      <c r="A17" s="379"/>
      <c r="B17" s="61" t="s">
        <v>12</v>
      </c>
      <c r="C17" s="71">
        <v>1</v>
      </c>
      <c r="D17" s="56" t="s">
        <v>174</v>
      </c>
      <c r="E17" s="44" t="s">
        <v>325</v>
      </c>
      <c r="F17" s="391"/>
      <c r="G17" s="390"/>
      <c r="H17" s="44">
        <f>C17*H12</f>
        <v>13000</v>
      </c>
    </row>
    <row r="18" spans="1:8" ht="15.75" x14ac:dyDescent="0.25">
      <c r="A18" s="379"/>
      <c r="B18" s="61" t="s">
        <v>13</v>
      </c>
      <c r="C18" s="71">
        <v>1</v>
      </c>
      <c r="D18" s="56" t="s">
        <v>161</v>
      </c>
      <c r="E18" s="44" t="s">
        <v>326</v>
      </c>
      <c r="F18" s="391"/>
      <c r="G18" s="390"/>
      <c r="H18" s="44">
        <f>C18*H12</f>
        <v>13000</v>
      </c>
    </row>
    <row r="19" spans="1:8" ht="15.75" x14ac:dyDescent="0.25">
      <c r="A19" s="379"/>
      <c r="B19" s="61" t="s">
        <v>14</v>
      </c>
      <c r="C19" s="71">
        <v>1</v>
      </c>
      <c r="D19" s="56" t="s">
        <v>161</v>
      </c>
      <c r="E19" s="44" t="s">
        <v>322</v>
      </c>
      <c r="F19" s="391"/>
      <c r="G19" s="390"/>
      <c r="H19" s="44">
        <f>C19*H12</f>
        <v>13000</v>
      </c>
    </row>
    <row r="20" spans="1:8" ht="16.5" thickBot="1" x14ac:dyDescent="0.3">
      <c r="A20" s="380"/>
      <c r="B20" s="72" t="s">
        <v>15</v>
      </c>
      <c r="C20" s="73">
        <v>0.01</v>
      </c>
      <c r="D20" s="56" t="s">
        <v>161</v>
      </c>
      <c r="E20" s="44" t="s">
        <v>281</v>
      </c>
      <c r="F20" s="392"/>
      <c r="G20" s="393"/>
      <c r="H20" s="44">
        <f>C20*H12</f>
        <v>130</v>
      </c>
    </row>
    <row r="21" spans="1:8" x14ac:dyDescent="0.25">
      <c r="E21" s="56"/>
      <c r="F21" s="81"/>
      <c r="G21" s="56"/>
      <c r="H21" s="87"/>
    </row>
    <row r="23" spans="1:8" ht="15.75" x14ac:dyDescent="0.25">
      <c r="A23" s="124" t="s">
        <v>233</v>
      </c>
      <c r="B23" s="124" t="s">
        <v>233</v>
      </c>
      <c r="C23" s="125" t="s">
        <v>234</v>
      </c>
      <c r="D23" s="125"/>
    </row>
    <row r="24" spans="1:8" ht="15.75" x14ac:dyDescent="0.25">
      <c r="A24" s="122" t="s">
        <v>235</v>
      </c>
      <c r="B24" s="122" t="s">
        <v>236</v>
      </c>
      <c r="C24" s="123" t="s">
        <v>237</v>
      </c>
      <c r="D24" s="123"/>
    </row>
    <row r="25" spans="1:8" ht="15.75" x14ac:dyDescent="0.25">
      <c r="A25" s="122" t="s">
        <v>238</v>
      </c>
      <c r="B25" s="122" t="s">
        <v>239</v>
      </c>
      <c r="C25" s="123" t="s">
        <v>240</v>
      </c>
      <c r="D25" s="123"/>
    </row>
    <row r="26" spans="1:8" x14ac:dyDescent="0.25">
      <c r="A26" s="121"/>
      <c r="B26" s="121"/>
      <c r="C26" s="120"/>
    </row>
    <row r="27" spans="1:8" x14ac:dyDescent="0.25">
      <c r="A27" s="121"/>
      <c r="B27" s="121"/>
    </row>
    <row r="28" spans="1:8" x14ac:dyDescent="0.25">
      <c r="A28" s="121"/>
      <c r="B28" s="121"/>
    </row>
  </sheetData>
  <mergeCells count="2">
    <mergeCell ref="A13:A20"/>
    <mergeCell ref="F13:G20"/>
  </mergeCells>
  <pageMargins left="0.7" right="0.7" top="0.75" bottom="0.75" header="0.3" footer="0.3"/>
  <pageSetup paperSize="9" orientation="landscape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3"/>
  <dimension ref="A1:J29"/>
  <sheetViews>
    <sheetView topLeftCell="A12" workbookViewId="0">
      <selection activeCell="J16" sqref="J16"/>
    </sheetView>
  </sheetViews>
  <sheetFormatPr baseColWidth="10" defaultRowHeight="16.5" x14ac:dyDescent="0.3"/>
  <cols>
    <col min="1" max="1" width="27.140625" style="267" customWidth="1"/>
    <col min="2" max="2" width="38.85546875" style="267" customWidth="1"/>
    <col min="3" max="3" width="11.42578125" style="267"/>
    <col min="4" max="4" width="9" style="267" customWidth="1"/>
    <col min="5" max="5" width="0" style="267" hidden="1" customWidth="1"/>
    <col min="6" max="6" width="11.42578125" style="267"/>
    <col min="7" max="7" width="11.85546875" style="267" customWidth="1"/>
    <col min="8" max="16384" width="11.42578125" style="267"/>
  </cols>
  <sheetData>
    <row r="1" spans="1:8" ht="20.25" x14ac:dyDescent="0.3">
      <c r="A1" s="265"/>
      <c r="B1" s="266" t="s">
        <v>0</v>
      </c>
      <c r="C1" s="265"/>
      <c r="D1" s="265"/>
    </row>
    <row r="2" spans="1:8" ht="17.25" x14ac:dyDescent="0.3">
      <c r="A2" s="265"/>
      <c r="B2" s="265"/>
      <c r="C2" s="265"/>
      <c r="D2" s="265"/>
    </row>
    <row r="3" spans="1:8" ht="20.25" x14ac:dyDescent="0.3">
      <c r="A3" s="268"/>
      <c r="B3" s="266" t="s">
        <v>459</v>
      </c>
      <c r="C3" s="265"/>
      <c r="D3" s="265"/>
    </row>
    <row r="4" spans="1:8" ht="20.25" x14ac:dyDescent="0.3">
      <c r="A4" s="266"/>
      <c r="B4" s="265"/>
      <c r="C4" s="265"/>
      <c r="D4" s="265"/>
    </row>
    <row r="5" spans="1:8" ht="17.25" x14ac:dyDescent="0.3">
      <c r="A5" s="269" t="s">
        <v>90</v>
      </c>
      <c r="B5" s="269" t="s">
        <v>460</v>
      </c>
      <c r="C5" s="270"/>
      <c r="D5" s="270"/>
    </row>
    <row r="6" spans="1:8" ht="17.25" x14ac:dyDescent="0.3">
      <c r="A6" s="269" t="s">
        <v>2</v>
      </c>
      <c r="B6" s="269" t="s">
        <v>38</v>
      </c>
      <c r="C6" s="270"/>
      <c r="D6" s="270"/>
    </row>
    <row r="7" spans="1:8" ht="17.25" x14ac:dyDescent="0.3">
      <c r="A7" s="269" t="s">
        <v>4</v>
      </c>
      <c r="B7" s="269" t="s">
        <v>461</v>
      </c>
      <c r="C7" s="270"/>
      <c r="D7" s="270"/>
      <c r="E7" s="268"/>
    </row>
    <row r="8" spans="1:8" ht="17.25" x14ac:dyDescent="0.3">
      <c r="A8" s="269" t="s">
        <v>5</v>
      </c>
      <c r="B8" s="269" t="s">
        <v>40</v>
      </c>
      <c r="C8" s="270"/>
      <c r="D8" s="270"/>
      <c r="E8" s="268"/>
      <c r="F8" s="271"/>
      <c r="G8" s="315" t="s">
        <v>492</v>
      </c>
      <c r="H8" s="316" t="s">
        <v>493</v>
      </c>
    </row>
    <row r="9" spans="1:8" ht="17.25" x14ac:dyDescent="0.3">
      <c r="A9" s="269" t="s">
        <v>6</v>
      </c>
      <c r="B9" s="269" t="s">
        <v>462</v>
      </c>
      <c r="C9" s="270"/>
      <c r="D9" s="270"/>
      <c r="E9" s="268"/>
      <c r="F9" s="271" t="s">
        <v>158</v>
      </c>
      <c r="G9" s="272">
        <v>120</v>
      </c>
      <c r="H9" s="272">
        <v>180</v>
      </c>
    </row>
    <row r="10" spans="1:8" ht="17.25" x14ac:dyDescent="0.3">
      <c r="A10" s="269" t="s">
        <v>475</v>
      </c>
      <c r="B10" s="269" t="s">
        <v>476</v>
      </c>
      <c r="C10" s="270"/>
      <c r="D10" s="270"/>
      <c r="E10" s="268"/>
      <c r="F10" s="271"/>
      <c r="G10" s="272"/>
      <c r="H10" s="272"/>
    </row>
    <row r="11" spans="1:8" ht="17.25" x14ac:dyDescent="0.3">
      <c r="A11" s="273" t="s">
        <v>8</v>
      </c>
      <c r="B11" s="273"/>
      <c r="C11" s="270"/>
      <c r="D11" s="270"/>
      <c r="E11" s="271" t="s">
        <v>319</v>
      </c>
      <c r="F11" s="271" t="s">
        <v>160</v>
      </c>
      <c r="G11" s="274">
        <f>G9*1000/7.46</f>
        <v>16085.790884718499</v>
      </c>
      <c r="H11" s="272">
        <v>24129</v>
      </c>
    </row>
    <row r="12" spans="1:8" x14ac:dyDescent="0.3">
      <c r="A12" s="394" t="s">
        <v>9</v>
      </c>
      <c r="B12" s="269" t="s">
        <v>477</v>
      </c>
      <c r="C12" s="275">
        <v>7.5000000000000002E-4</v>
      </c>
      <c r="D12" s="268" t="s">
        <v>174</v>
      </c>
      <c r="E12" s="276"/>
      <c r="F12" s="277"/>
      <c r="G12" s="278">
        <f>C12*G11</f>
        <v>12.064343163538874</v>
      </c>
      <c r="H12" s="272">
        <v>18.100000000000001</v>
      </c>
    </row>
    <row r="13" spans="1:8" x14ac:dyDescent="0.3">
      <c r="A13" s="394"/>
      <c r="B13" s="269" t="s">
        <v>457</v>
      </c>
      <c r="C13" s="275">
        <v>6.4999999999999997E-3</v>
      </c>
      <c r="D13" s="268" t="s">
        <v>174</v>
      </c>
      <c r="E13" s="276"/>
      <c r="F13" s="277"/>
      <c r="G13" s="278">
        <f>C13*G11</f>
        <v>104.55764075067025</v>
      </c>
      <c r="H13" s="272">
        <v>156.84</v>
      </c>
    </row>
    <row r="14" spans="1:8" x14ac:dyDescent="0.3">
      <c r="A14" s="394"/>
      <c r="B14" s="269" t="s">
        <v>43</v>
      </c>
      <c r="C14" s="275">
        <v>1.1E-4</v>
      </c>
      <c r="D14" s="268" t="s">
        <v>174</v>
      </c>
      <c r="E14" s="276"/>
      <c r="F14" s="277"/>
      <c r="G14" s="278">
        <f>C14*G11</f>
        <v>1.7694369973190349</v>
      </c>
      <c r="H14" s="272">
        <v>2.65</v>
      </c>
    </row>
    <row r="15" spans="1:8" x14ac:dyDescent="0.3">
      <c r="A15" s="394"/>
      <c r="B15" s="269" t="s">
        <v>74</v>
      </c>
      <c r="C15" s="275">
        <v>1E-4</v>
      </c>
      <c r="D15" s="268" t="s">
        <v>174</v>
      </c>
      <c r="E15" s="276"/>
      <c r="F15" s="277"/>
      <c r="G15" s="278">
        <f>C15*G11</f>
        <v>1.60857908847185</v>
      </c>
      <c r="H15" s="272">
        <v>2.41</v>
      </c>
    </row>
    <row r="16" spans="1:8" x14ac:dyDescent="0.3">
      <c r="A16" s="394"/>
      <c r="B16" s="269" t="s">
        <v>458</v>
      </c>
      <c r="C16" s="279">
        <v>20</v>
      </c>
      <c r="D16" s="268" t="s">
        <v>174</v>
      </c>
      <c r="E16" s="276"/>
      <c r="F16" s="277"/>
      <c r="G16" s="278">
        <f>C16*G11</f>
        <v>321715.81769436999</v>
      </c>
      <c r="H16" s="272">
        <v>482580</v>
      </c>
    </row>
    <row r="17" spans="1:10" x14ac:dyDescent="0.3">
      <c r="A17" s="394"/>
      <c r="B17" s="269" t="s">
        <v>211</v>
      </c>
      <c r="C17" s="275">
        <v>3.8140000000000001E-3</v>
      </c>
      <c r="D17" s="268" t="s">
        <v>161</v>
      </c>
      <c r="E17" s="276"/>
      <c r="F17" s="277"/>
      <c r="G17" s="278">
        <f>C17*G11</f>
        <v>61.35120643431636</v>
      </c>
      <c r="H17" s="272">
        <v>92.03</v>
      </c>
    </row>
    <row r="18" spans="1:10" x14ac:dyDescent="0.3">
      <c r="A18" s="394"/>
      <c r="B18" s="269" t="s">
        <v>48</v>
      </c>
      <c r="C18" s="275">
        <v>9.5600000000000004E-4</v>
      </c>
      <c r="D18" s="268" t="s">
        <v>161</v>
      </c>
      <c r="E18" s="276"/>
      <c r="F18" s="277"/>
      <c r="G18" s="278">
        <f>C18*G11</f>
        <v>15.378016085790886</v>
      </c>
      <c r="H18" s="272">
        <v>23.07</v>
      </c>
      <c r="J18" s="267">
        <f>C18*1000000</f>
        <v>956</v>
      </c>
    </row>
    <row r="19" spans="1:10" x14ac:dyDescent="0.3">
      <c r="A19" s="394"/>
      <c r="B19" s="269" t="s">
        <v>12</v>
      </c>
      <c r="C19" s="280">
        <v>1</v>
      </c>
      <c r="D19" s="268" t="s">
        <v>161</v>
      </c>
      <c r="E19" s="276"/>
      <c r="F19" s="277"/>
      <c r="G19" s="281">
        <f>C19*G11</f>
        <v>16085.790884718499</v>
      </c>
      <c r="H19" s="272">
        <v>24129</v>
      </c>
      <c r="J19" s="267">
        <f>J18/20</f>
        <v>47.8</v>
      </c>
    </row>
    <row r="20" spans="1:10" x14ac:dyDescent="0.3">
      <c r="A20" s="394"/>
      <c r="B20" s="269" t="s">
        <v>13</v>
      </c>
      <c r="C20" s="280">
        <v>1</v>
      </c>
      <c r="E20" s="268"/>
      <c r="F20" s="282"/>
      <c r="G20" s="281">
        <f>C20*G11</f>
        <v>16085.790884718499</v>
      </c>
      <c r="H20" s="272">
        <v>24129</v>
      </c>
    </row>
    <row r="21" spans="1:10" x14ac:dyDescent="0.3">
      <c r="A21" s="394"/>
      <c r="B21" s="269" t="s">
        <v>14</v>
      </c>
      <c r="C21" s="280">
        <v>1</v>
      </c>
      <c r="D21" s="268"/>
      <c r="F21" s="282"/>
      <c r="G21" s="281">
        <f>C21*G11</f>
        <v>16085.790884718499</v>
      </c>
      <c r="H21" s="272">
        <v>24129</v>
      </c>
    </row>
    <row r="22" spans="1:10" x14ac:dyDescent="0.3">
      <c r="A22" s="394"/>
      <c r="B22" s="269" t="s">
        <v>49</v>
      </c>
      <c r="C22" s="280">
        <v>5.0000000000000001E-3</v>
      </c>
      <c r="D22" s="268"/>
      <c r="G22" s="281">
        <f>C22*G11</f>
        <v>80.428954423592501</v>
      </c>
      <c r="H22" s="272">
        <v>121</v>
      </c>
    </row>
    <row r="24" spans="1:10" x14ac:dyDescent="0.3">
      <c r="A24" s="283" t="s">
        <v>233</v>
      </c>
      <c r="B24" s="283" t="s">
        <v>233</v>
      </c>
      <c r="C24" s="284" t="s">
        <v>234</v>
      </c>
      <c r="D24" s="284"/>
    </row>
    <row r="25" spans="1:10" ht="17.25" x14ac:dyDescent="0.3">
      <c r="A25" s="285" t="s">
        <v>235</v>
      </c>
      <c r="B25" s="285" t="s">
        <v>236</v>
      </c>
      <c r="C25" s="267" t="s">
        <v>237</v>
      </c>
    </row>
    <row r="26" spans="1:10" ht="17.25" x14ac:dyDescent="0.3">
      <c r="A26" s="285" t="s">
        <v>238</v>
      </c>
      <c r="B26" s="285" t="s">
        <v>239</v>
      </c>
      <c r="C26" s="267" t="s">
        <v>240</v>
      </c>
    </row>
    <row r="27" spans="1:10" x14ac:dyDescent="0.3">
      <c r="A27" s="286"/>
      <c r="B27" s="286"/>
    </row>
    <row r="28" spans="1:10" x14ac:dyDescent="0.3">
      <c r="A28" s="286"/>
      <c r="B28" s="286"/>
    </row>
    <row r="29" spans="1:10" x14ac:dyDescent="0.3">
      <c r="A29" s="286"/>
      <c r="B29" s="286"/>
    </row>
  </sheetData>
  <mergeCells count="1">
    <mergeCell ref="A12:A22"/>
  </mergeCells>
  <pageMargins left="0.7" right="0.7" top="0.75" bottom="0.75" header="0.3" footer="0.3"/>
  <pageSetup paperSize="9" orientation="landscape" r:id="rId1"/>
</worksheet>
</file>

<file path=xl/worksheets/sheet5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4"/>
  <dimension ref="A3:H30"/>
  <sheetViews>
    <sheetView topLeftCell="A4" workbookViewId="0">
      <selection activeCell="C34" sqref="C34"/>
    </sheetView>
  </sheetViews>
  <sheetFormatPr baseColWidth="10" defaultRowHeight="15" x14ac:dyDescent="0.25"/>
  <cols>
    <col min="1" max="1" width="28.5703125" customWidth="1"/>
    <col min="2" max="2" width="44.5703125" customWidth="1"/>
    <col min="3" max="3" width="12" customWidth="1"/>
    <col min="4" max="4" width="6.42578125" style="162" customWidth="1"/>
    <col min="5" max="5" width="9.5703125" customWidth="1"/>
    <col min="7" max="7" width="8.140625" customWidth="1"/>
    <col min="8" max="8" width="10.140625" customWidth="1"/>
  </cols>
  <sheetData>
    <row r="3" spans="1:8" ht="20.25" x14ac:dyDescent="0.3">
      <c r="A3" s="57"/>
      <c r="B3" s="59" t="s">
        <v>0</v>
      </c>
      <c r="C3" s="57"/>
      <c r="D3" s="57"/>
    </row>
    <row r="4" spans="1:8" ht="15.75" x14ac:dyDescent="0.25">
      <c r="A4" s="57" t="s">
        <v>471</v>
      </c>
      <c r="B4" s="57"/>
      <c r="C4" s="57"/>
      <c r="D4" s="57"/>
    </row>
    <row r="5" spans="1:8" ht="20.25" x14ac:dyDescent="0.3">
      <c r="A5" s="56"/>
      <c r="B5" s="59" t="s">
        <v>216</v>
      </c>
      <c r="C5" s="57"/>
      <c r="D5" s="57"/>
    </row>
    <row r="6" spans="1:8" ht="20.25" x14ac:dyDescent="0.3">
      <c r="A6" s="59"/>
      <c r="B6" s="57"/>
      <c r="C6" s="57"/>
      <c r="D6" s="57"/>
    </row>
    <row r="7" spans="1:8" ht="15.75" x14ac:dyDescent="0.25">
      <c r="A7" s="58" t="s">
        <v>1</v>
      </c>
      <c r="B7" s="58" t="s">
        <v>217</v>
      </c>
      <c r="C7" s="60"/>
      <c r="D7" s="60"/>
    </row>
    <row r="8" spans="1:8" ht="15.75" x14ac:dyDescent="0.25">
      <c r="A8" s="58" t="s">
        <v>2</v>
      </c>
      <c r="B8" s="58" t="s">
        <v>3</v>
      </c>
      <c r="C8" s="60"/>
      <c r="D8" s="60"/>
    </row>
    <row r="9" spans="1:8" ht="16.5" thickBot="1" x14ac:dyDescent="0.3">
      <c r="A9" s="58" t="s">
        <v>4</v>
      </c>
      <c r="B9" s="58" t="s">
        <v>163</v>
      </c>
      <c r="C9" s="60"/>
      <c r="D9" s="60"/>
    </row>
    <row r="10" spans="1:8" ht="16.5" thickBot="1" x14ac:dyDescent="0.3">
      <c r="A10" s="58" t="s">
        <v>5</v>
      </c>
      <c r="B10" s="58" t="s">
        <v>31</v>
      </c>
      <c r="C10" s="60"/>
      <c r="D10" s="60"/>
      <c r="F10" s="77" t="s">
        <v>156</v>
      </c>
      <c r="G10" s="76"/>
      <c r="H10" s="103" t="s">
        <v>157</v>
      </c>
    </row>
    <row r="11" spans="1:8" ht="15.75" x14ac:dyDescent="0.25">
      <c r="A11" s="58" t="s">
        <v>6</v>
      </c>
      <c r="B11" s="58" t="s">
        <v>218</v>
      </c>
      <c r="C11" s="60"/>
      <c r="D11" s="60"/>
      <c r="E11" s="56"/>
      <c r="F11" s="62" t="s">
        <v>158</v>
      </c>
      <c r="G11" s="56">
        <v>150</v>
      </c>
      <c r="H11" s="44">
        <v>260</v>
      </c>
    </row>
    <row r="12" spans="1:8" ht="16.5" thickBot="1" x14ac:dyDescent="0.3">
      <c r="A12" s="58" t="s">
        <v>8</v>
      </c>
      <c r="B12" s="58"/>
      <c r="C12" s="60"/>
      <c r="D12" s="60"/>
      <c r="E12" s="174" t="s">
        <v>319</v>
      </c>
      <c r="F12" s="62" t="s">
        <v>160</v>
      </c>
      <c r="G12" s="56">
        <f>G11*1000/16</f>
        <v>9375</v>
      </c>
      <c r="H12" s="44">
        <f>H11*1000/16</f>
        <v>16250</v>
      </c>
    </row>
    <row r="13" spans="1:8" ht="15.75" x14ac:dyDescent="0.25">
      <c r="A13" s="378" t="s">
        <v>9</v>
      </c>
      <c r="B13" s="64" t="s">
        <v>121</v>
      </c>
      <c r="C13" s="70">
        <v>1.388E-2</v>
      </c>
      <c r="D13" s="107" t="s">
        <v>174</v>
      </c>
      <c r="E13" s="44" t="s">
        <v>289</v>
      </c>
      <c r="F13" s="78">
        <f>C13*G12</f>
        <v>130.125</v>
      </c>
      <c r="G13" s="80"/>
      <c r="H13" s="44">
        <f>C13*H12</f>
        <v>225.55</v>
      </c>
    </row>
    <row r="14" spans="1:8" ht="15.75" x14ac:dyDescent="0.25">
      <c r="A14" s="379"/>
      <c r="B14" s="61" t="s">
        <v>219</v>
      </c>
      <c r="C14" s="71">
        <v>1.5200000000000001E-3</v>
      </c>
      <c r="D14" s="56" t="s">
        <v>174</v>
      </c>
      <c r="E14" s="44" t="s">
        <v>301</v>
      </c>
      <c r="F14" s="78">
        <f>C14*G12</f>
        <v>14.25</v>
      </c>
      <c r="G14" s="80"/>
      <c r="H14" s="44">
        <f>C14*H12</f>
        <v>24.700000000000003</v>
      </c>
    </row>
    <row r="15" spans="1:8" ht="15.75" x14ac:dyDescent="0.25">
      <c r="A15" s="379"/>
      <c r="B15" s="61" t="s">
        <v>220</v>
      </c>
      <c r="C15" s="71">
        <v>5.9999999999999995E-4</v>
      </c>
      <c r="D15" s="56" t="s">
        <v>174</v>
      </c>
      <c r="E15" s="44" t="s">
        <v>303</v>
      </c>
      <c r="F15" s="78">
        <f>C15*G12</f>
        <v>5.6249999999999991</v>
      </c>
      <c r="G15" s="80"/>
      <c r="H15" s="44">
        <f>C15*H12</f>
        <v>9.75</v>
      </c>
    </row>
    <row r="16" spans="1:8" ht="15.75" x14ac:dyDescent="0.25">
      <c r="A16" s="379"/>
      <c r="B16" s="61" t="s">
        <v>10</v>
      </c>
      <c r="C16" s="71">
        <v>1.4544E-3</v>
      </c>
      <c r="D16" s="56" t="s">
        <v>174</v>
      </c>
      <c r="E16" s="44" t="s">
        <v>291</v>
      </c>
      <c r="F16" s="78">
        <f>C16*G12</f>
        <v>13.635</v>
      </c>
      <c r="G16" s="80"/>
      <c r="H16" s="44">
        <f>C16*H12</f>
        <v>23.634</v>
      </c>
    </row>
    <row r="17" spans="1:8" ht="15.75" x14ac:dyDescent="0.25">
      <c r="A17" s="379"/>
      <c r="B17" s="61" t="s">
        <v>11</v>
      </c>
      <c r="C17" s="71">
        <v>1.3247999999999999E-3</v>
      </c>
      <c r="D17" s="56" t="s">
        <v>174</v>
      </c>
      <c r="E17" s="44" t="s">
        <v>320</v>
      </c>
      <c r="F17" s="79">
        <f>C17*G12</f>
        <v>12.419999999999998</v>
      </c>
      <c r="G17" s="81"/>
      <c r="H17" s="44">
        <f>C17*H12</f>
        <v>21.527999999999999</v>
      </c>
    </row>
    <row r="18" spans="1:8" ht="15.75" x14ac:dyDescent="0.25">
      <c r="A18" s="379"/>
      <c r="B18" s="61" t="s">
        <v>12</v>
      </c>
      <c r="C18" s="115">
        <v>1</v>
      </c>
      <c r="D18" s="107" t="s">
        <v>161</v>
      </c>
      <c r="E18" s="44" t="s">
        <v>321</v>
      </c>
      <c r="F18" s="79">
        <f>C18*G12</f>
        <v>9375</v>
      </c>
      <c r="G18" s="81"/>
      <c r="H18" s="44">
        <f>C18*H12</f>
        <v>16250</v>
      </c>
    </row>
    <row r="19" spans="1:8" ht="15.75" x14ac:dyDescent="0.25">
      <c r="A19" s="379"/>
      <c r="B19" s="61" t="s">
        <v>13</v>
      </c>
      <c r="C19" s="115">
        <v>1</v>
      </c>
      <c r="D19" s="56" t="s">
        <v>161</v>
      </c>
      <c r="E19" s="44" t="s">
        <v>318</v>
      </c>
      <c r="F19" s="79">
        <f>C19*G12</f>
        <v>9375</v>
      </c>
      <c r="G19" s="81"/>
      <c r="H19" s="44">
        <f>C19*H12</f>
        <v>16250</v>
      </c>
    </row>
    <row r="20" spans="1:8" ht="15.75" x14ac:dyDescent="0.25">
      <c r="A20" s="379"/>
      <c r="B20" s="61" t="s">
        <v>145</v>
      </c>
      <c r="C20" s="115">
        <v>1</v>
      </c>
      <c r="D20" s="56" t="s">
        <v>161</v>
      </c>
      <c r="E20" s="44" t="s">
        <v>296</v>
      </c>
      <c r="F20" s="79">
        <f>C20*G12</f>
        <v>9375</v>
      </c>
      <c r="G20" s="81"/>
      <c r="H20" s="44">
        <f>C20*H12</f>
        <v>16250</v>
      </c>
    </row>
    <row r="21" spans="1:8" ht="15.75" thickBot="1" x14ac:dyDescent="0.3">
      <c r="A21" s="380"/>
      <c r="B21" s="65" t="s">
        <v>165</v>
      </c>
      <c r="C21" s="66">
        <v>0.01</v>
      </c>
      <c r="D21" s="56" t="s">
        <v>161</v>
      </c>
      <c r="E21" s="44" t="s">
        <v>306</v>
      </c>
      <c r="F21" s="84">
        <f>C21*G12</f>
        <v>93.75</v>
      </c>
      <c r="H21" s="44">
        <f>C21*H12</f>
        <v>162.5</v>
      </c>
    </row>
    <row r="24" spans="1:8" ht="15.75" x14ac:dyDescent="0.25">
      <c r="A24" s="124" t="s">
        <v>233</v>
      </c>
      <c r="B24" s="124" t="s">
        <v>233</v>
      </c>
      <c r="C24" s="125" t="s">
        <v>234</v>
      </c>
      <c r="D24" s="125"/>
      <c r="E24" s="120"/>
    </row>
    <row r="25" spans="1:8" ht="15.75" x14ac:dyDescent="0.25">
      <c r="A25" s="122" t="s">
        <v>235</v>
      </c>
      <c r="B25" s="122" t="s">
        <v>236</v>
      </c>
      <c r="C25" s="123" t="s">
        <v>237</v>
      </c>
      <c r="D25" s="123"/>
      <c r="E25" s="120"/>
    </row>
    <row r="26" spans="1:8" ht="15.75" x14ac:dyDescent="0.25">
      <c r="A26" s="122" t="s">
        <v>238</v>
      </c>
      <c r="B26" s="122" t="s">
        <v>239</v>
      </c>
      <c r="C26" s="123" t="s">
        <v>240</v>
      </c>
      <c r="D26" s="123"/>
      <c r="E26" s="120"/>
    </row>
    <row r="27" spans="1:8" x14ac:dyDescent="0.25">
      <c r="A27" s="121"/>
      <c r="B27" s="121"/>
      <c r="C27" s="120"/>
      <c r="E27" s="120"/>
    </row>
    <row r="28" spans="1:8" x14ac:dyDescent="0.25">
      <c r="A28" s="121"/>
      <c r="B28" s="121"/>
    </row>
    <row r="29" spans="1:8" x14ac:dyDescent="0.25">
      <c r="A29" s="121"/>
      <c r="B29" s="121"/>
    </row>
    <row r="30" spans="1:8" x14ac:dyDescent="0.25">
      <c r="A30" s="121"/>
      <c r="B30" s="121"/>
    </row>
  </sheetData>
  <mergeCells count="1">
    <mergeCell ref="A13:A21"/>
  </mergeCells>
  <pageMargins left="0.7" right="0.7" top="0.75" bottom="0.75" header="0.3" footer="0.3"/>
  <pageSetup paperSize="9" orientation="landscape" r:id="rId1"/>
  <legacyDrawing r:id="rId2"/>
</worksheet>
</file>

<file path=xl/worksheets/sheet5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5"/>
  <dimension ref="A3:H29"/>
  <sheetViews>
    <sheetView topLeftCell="A8" workbookViewId="0">
      <selection activeCell="H22" sqref="H22"/>
    </sheetView>
  </sheetViews>
  <sheetFormatPr baseColWidth="10" defaultRowHeight="15" x14ac:dyDescent="0.25"/>
  <cols>
    <col min="1" max="1" width="27" customWidth="1"/>
    <col min="2" max="2" width="41.42578125" customWidth="1"/>
    <col min="3" max="3" width="13.42578125" customWidth="1"/>
    <col min="4" max="4" width="7.28515625" style="162" customWidth="1"/>
    <col min="6" max="6" width="10" customWidth="1"/>
    <col min="8" max="8" width="8.140625" customWidth="1"/>
  </cols>
  <sheetData>
    <row r="3" spans="1:8" ht="20.25" x14ac:dyDescent="0.3">
      <c r="A3" s="57"/>
      <c r="B3" s="59" t="s">
        <v>0</v>
      </c>
      <c r="C3" s="57"/>
      <c r="D3" s="57"/>
    </row>
    <row r="4" spans="1:8" ht="15.75" x14ac:dyDescent="0.25">
      <c r="A4" s="57"/>
      <c r="B4" s="57"/>
      <c r="C4" s="57"/>
      <c r="D4" s="57"/>
    </row>
    <row r="5" spans="1:8" ht="20.25" x14ac:dyDescent="0.3">
      <c r="A5" s="107" t="s">
        <v>471</v>
      </c>
      <c r="B5" s="59" t="s">
        <v>221</v>
      </c>
      <c r="C5" s="57"/>
      <c r="D5" s="57"/>
    </row>
    <row r="6" spans="1:8" ht="20.25" x14ac:dyDescent="0.3">
      <c r="A6" s="59"/>
      <c r="B6" s="57"/>
      <c r="C6" s="57"/>
      <c r="D6" s="57"/>
    </row>
    <row r="7" spans="1:8" ht="15.75" x14ac:dyDescent="0.25">
      <c r="A7" s="58" t="s">
        <v>1</v>
      </c>
      <c r="B7" s="58" t="s">
        <v>222</v>
      </c>
      <c r="C7" s="60"/>
      <c r="D7" s="60"/>
    </row>
    <row r="8" spans="1:8" ht="15.75" x14ac:dyDescent="0.25">
      <c r="A8" s="58" t="s">
        <v>2</v>
      </c>
      <c r="B8" s="58" t="s">
        <v>3</v>
      </c>
      <c r="C8" s="60"/>
      <c r="D8" s="60"/>
    </row>
    <row r="9" spans="1:8" ht="16.5" thickBot="1" x14ac:dyDescent="0.3">
      <c r="A9" s="58" t="s">
        <v>4</v>
      </c>
      <c r="B9" s="58" t="s">
        <v>163</v>
      </c>
      <c r="C9" s="60"/>
      <c r="D9" s="60"/>
    </row>
    <row r="10" spans="1:8" ht="16.5" thickBot="1" x14ac:dyDescent="0.3">
      <c r="A10" s="58" t="s">
        <v>5</v>
      </c>
      <c r="B10" s="58" t="s">
        <v>31</v>
      </c>
      <c r="C10" s="60"/>
      <c r="D10" s="60"/>
      <c r="F10" s="77" t="s">
        <v>156</v>
      </c>
      <c r="G10" s="76"/>
      <c r="H10" s="103" t="s">
        <v>157</v>
      </c>
    </row>
    <row r="11" spans="1:8" ht="15.75" x14ac:dyDescent="0.25">
      <c r="A11" s="58" t="s">
        <v>6</v>
      </c>
      <c r="B11" s="58"/>
      <c r="C11" s="60"/>
      <c r="D11" s="60"/>
      <c r="F11" s="62" t="s">
        <v>158</v>
      </c>
      <c r="G11" s="56">
        <v>150</v>
      </c>
      <c r="H11" s="44">
        <v>260</v>
      </c>
    </row>
    <row r="12" spans="1:8" ht="16.5" thickBot="1" x14ac:dyDescent="0.3">
      <c r="A12" s="58" t="s">
        <v>8</v>
      </c>
      <c r="B12" s="58"/>
      <c r="C12" s="60"/>
      <c r="D12" s="60"/>
      <c r="E12" s="174" t="s">
        <v>314</v>
      </c>
      <c r="F12" s="62" t="s">
        <v>160</v>
      </c>
      <c r="G12" s="56">
        <f>G11*1000/8</f>
        <v>18750</v>
      </c>
      <c r="H12" s="44">
        <f>H11*1000/8</f>
        <v>32500</v>
      </c>
    </row>
    <row r="13" spans="1:8" ht="15.75" x14ac:dyDescent="0.25">
      <c r="A13" s="378" t="s">
        <v>9</v>
      </c>
      <c r="B13" s="64" t="s">
        <v>121</v>
      </c>
      <c r="C13" s="70">
        <v>6.888E-3</v>
      </c>
      <c r="D13" s="107" t="s">
        <v>174</v>
      </c>
      <c r="E13" s="44" t="s">
        <v>289</v>
      </c>
      <c r="F13" s="78">
        <f>C13*G12</f>
        <v>129.15</v>
      </c>
      <c r="G13" s="80"/>
      <c r="H13" s="44">
        <f>C13*H12</f>
        <v>223.86</v>
      </c>
    </row>
    <row r="14" spans="1:8" ht="15.75" x14ac:dyDescent="0.25">
      <c r="A14" s="379"/>
      <c r="B14" s="61" t="s">
        <v>219</v>
      </c>
      <c r="C14" s="71">
        <v>7.6000000000000004E-4</v>
      </c>
      <c r="D14" s="56" t="s">
        <v>174</v>
      </c>
      <c r="E14" s="44" t="s">
        <v>301</v>
      </c>
      <c r="F14" s="78">
        <f>C14*G12</f>
        <v>14.25</v>
      </c>
      <c r="G14" s="80"/>
      <c r="H14" s="204">
        <f>C14*H12</f>
        <v>24.700000000000003</v>
      </c>
    </row>
    <row r="15" spans="1:8" ht="15.75" x14ac:dyDescent="0.25">
      <c r="A15" s="379"/>
      <c r="B15" s="61" t="s">
        <v>220</v>
      </c>
      <c r="C15" s="71">
        <v>3.5199999999999999E-4</v>
      </c>
      <c r="D15" s="56" t="s">
        <v>174</v>
      </c>
      <c r="E15" s="44" t="s">
        <v>303</v>
      </c>
      <c r="F15" s="78">
        <f>C15*G12</f>
        <v>6.6</v>
      </c>
      <c r="G15" s="80"/>
      <c r="H15" s="44">
        <f>C15*H12</f>
        <v>11.44</v>
      </c>
    </row>
    <row r="16" spans="1:8" ht="15.75" x14ac:dyDescent="0.25">
      <c r="A16" s="379"/>
      <c r="B16" s="61" t="s">
        <v>10</v>
      </c>
      <c r="C16" s="71">
        <v>1.4544E-3</v>
      </c>
      <c r="D16" s="56" t="s">
        <v>174</v>
      </c>
      <c r="E16" s="44" t="s">
        <v>291</v>
      </c>
      <c r="F16" s="78">
        <f>C16*G12</f>
        <v>27.27</v>
      </c>
      <c r="G16" s="80"/>
      <c r="H16" s="205">
        <f>C16*H12</f>
        <v>47.268000000000001</v>
      </c>
    </row>
    <row r="17" spans="1:8" ht="15.75" x14ac:dyDescent="0.25">
      <c r="A17" s="379"/>
      <c r="B17" s="61" t="s">
        <v>11</v>
      </c>
      <c r="C17" s="71">
        <v>1.3247999999999999E-3</v>
      </c>
      <c r="D17" s="56" t="s">
        <v>174</v>
      </c>
      <c r="E17" s="44" t="s">
        <v>316</v>
      </c>
      <c r="F17" s="79">
        <f>C17*G12</f>
        <v>24.839999999999996</v>
      </c>
      <c r="G17" s="81"/>
      <c r="H17" s="205">
        <f>C17*H12</f>
        <v>43.055999999999997</v>
      </c>
    </row>
    <row r="18" spans="1:8" ht="15.75" x14ac:dyDescent="0.25">
      <c r="A18" s="379"/>
      <c r="B18" s="61" t="s">
        <v>12</v>
      </c>
      <c r="C18" s="115">
        <v>1</v>
      </c>
      <c r="D18" s="107" t="s">
        <v>161</v>
      </c>
      <c r="E18" s="44" t="s">
        <v>317</v>
      </c>
      <c r="F18" s="79">
        <f>C18*G12</f>
        <v>18750</v>
      </c>
      <c r="G18" s="81"/>
      <c r="H18" s="44">
        <f>C18*H12</f>
        <v>32500</v>
      </c>
    </row>
    <row r="19" spans="1:8" ht="15.75" x14ac:dyDescent="0.25">
      <c r="A19" s="379"/>
      <c r="B19" s="61" t="s">
        <v>13</v>
      </c>
      <c r="C19" s="115">
        <v>1</v>
      </c>
      <c r="D19" s="56" t="s">
        <v>161</v>
      </c>
      <c r="E19" s="44" t="s">
        <v>318</v>
      </c>
      <c r="F19" s="79">
        <f>C19*G12</f>
        <v>18750</v>
      </c>
      <c r="G19" s="81"/>
      <c r="H19" s="44">
        <f>C19*H12</f>
        <v>32500</v>
      </c>
    </row>
    <row r="20" spans="1:8" ht="15.75" x14ac:dyDescent="0.25">
      <c r="A20" s="379"/>
      <c r="B20" s="61" t="s">
        <v>145</v>
      </c>
      <c r="C20" s="115">
        <v>1</v>
      </c>
      <c r="D20" s="56" t="s">
        <v>161</v>
      </c>
      <c r="E20" s="44" t="s">
        <v>296</v>
      </c>
      <c r="F20" s="79">
        <f>C20*G12</f>
        <v>18750</v>
      </c>
      <c r="G20" s="81"/>
      <c r="H20" s="44">
        <f>C20*H12</f>
        <v>32500</v>
      </c>
    </row>
    <row r="21" spans="1:8" ht="15.75" thickBot="1" x14ac:dyDescent="0.3">
      <c r="A21" s="380"/>
      <c r="B21" s="65" t="s">
        <v>165</v>
      </c>
      <c r="C21" s="66">
        <v>0.01</v>
      </c>
      <c r="D21" s="56" t="s">
        <v>161</v>
      </c>
      <c r="E21" s="44" t="s">
        <v>306</v>
      </c>
      <c r="F21" s="84">
        <f>C21*G12</f>
        <v>187.5</v>
      </c>
      <c r="H21" s="44">
        <f>C21*H12</f>
        <v>325</v>
      </c>
    </row>
    <row r="24" spans="1:8" ht="15.75" x14ac:dyDescent="0.25">
      <c r="A24" s="124" t="s">
        <v>233</v>
      </c>
      <c r="B24" s="124" t="s">
        <v>233</v>
      </c>
      <c r="C24" s="125" t="s">
        <v>234</v>
      </c>
      <c r="D24" s="125"/>
      <c r="E24" s="120"/>
    </row>
    <row r="25" spans="1:8" ht="15.75" x14ac:dyDescent="0.25">
      <c r="A25" s="122" t="s">
        <v>235</v>
      </c>
      <c r="B25" s="122" t="s">
        <v>236</v>
      </c>
      <c r="C25" s="123" t="s">
        <v>237</v>
      </c>
      <c r="D25" s="123"/>
      <c r="E25" s="120"/>
    </row>
    <row r="26" spans="1:8" ht="15.75" x14ac:dyDescent="0.25">
      <c r="A26" s="122" t="s">
        <v>238</v>
      </c>
      <c r="B26" s="122" t="s">
        <v>239</v>
      </c>
      <c r="C26" s="123" t="s">
        <v>240</v>
      </c>
      <c r="D26" s="123"/>
      <c r="E26" s="120"/>
    </row>
    <row r="27" spans="1:8" x14ac:dyDescent="0.25">
      <c r="A27" s="121"/>
      <c r="B27" s="121"/>
      <c r="C27" s="120"/>
      <c r="E27" s="120"/>
    </row>
    <row r="28" spans="1:8" x14ac:dyDescent="0.25">
      <c r="A28" s="121"/>
      <c r="B28" s="121"/>
    </row>
    <row r="29" spans="1:8" x14ac:dyDescent="0.25">
      <c r="A29" s="121"/>
      <c r="B29" s="121"/>
    </row>
  </sheetData>
  <mergeCells count="1">
    <mergeCell ref="A13:A21"/>
  </mergeCells>
  <pageMargins left="0.7" right="0.7" top="0.75" bottom="0.75" header="0.3" footer="0.3"/>
  <pageSetup paperSize="9" orientation="landscape" r:id="rId1"/>
  <legacyDrawing r:id="rId2"/>
</worksheet>
</file>

<file path=xl/worksheets/sheet5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6"/>
  <dimension ref="A1:G29"/>
  <sheetViews>
    <sheetView workbookViewId="0">
      <selection activeCell="E25" sqref="E25"/>
    </sheetView>
  </sheetViews>
  <sheetFormatPr baseColWidth="10" defaultRowHeight="15" x14ac:dyDescent="0.25"/>
  <cols>
    <col min="1" max="1" width="23.85546875" customWidth="1"/>
    <col min="2" max="2" width="44.85546875" customWidth="1"/>
    <col min="3" max="3" width="11.42578125" customWidth="1"/>
    <col min="4" max="4" width="9.85546875" customWidth="1"/>
  </cols>
  <sheetData>
    <row r="1" spans="1:7" x14ac:dyDescent="0.25">
      <c r="A1" t="s">
        <v>471</v>
      </c>
    </row>
    <row r="2" spans="1:7" ht="20.25" x14ac:dyDescent="0.3">
      <c r="A2" s="57"/>
      <c r="B2" s="59" t="s">
        <v>0</v>
      </c>
      <c r="C2" s="57"/>
    </row>
    <row r="3" spans="1:7" ht="15.75" x14ac:dyDescent="0.25">
      <c r="A3" s="57"/>
      <c r="B3" s="57"/>
      <c r="C3" s="57"/>
    </row>
    <row r="4" spans="1:7" ht="20.25" x14ac:dyDescent="0.3">
      <c r="A4" s="56"/>
      <c r="B4" s="59" t="s">
        <v>223</v>
      </c>
      <c r="C4" s="57"/>
    </row>
    <row r="5" spans="1:7" ht="20.25" x14ac:dyDescent="0.3">
      <c r="A5" s="59"/>
      <c r="B5" s="57"/>
      <c r="C5" s="57"/>
    </row>
    <row r="6" spans="1:7" ht="15.75" x14ac:dyDescent="0.25">
      <c r="A6" s="58" t="s">
        <v>1</v>
      </c>
      <c r="B6" s="58" t="s">
        <v>224</v>
      </c>
      <c r="C6" s="60"/>
    </row>
    <row r="7" spans="1:7" ht="15.75" x14ac:dyDescent="0.25">
      <c r="A7" s="58" t="s">
        <v>2</v>
      </c>
      <c r="B7" s="58" t="s">
        <v>3</v>
      </c>
      <c r="C7" s="60"/>
    </row>
    <row r="8" spans="1:7" ht="16.5" thickBot="1" x14ac:dyDescent="0.3">
      <c r="A8" s="58" t="s">
        <v>4</v>
      </c>
      <c r="B8" s="58" t="s">
        <v>163</v>
      </c>
      <c r="C8" s="60"/>
    </row>
    <row r="9" spans="1:7" ht="16.5" thickBot="1" x14ac:dyDescent="0.3">
      <c r="A9" s="58" t="s">
        <v>5</v>
      </c>
      <c r="B9" s="58" t="s">
        <v>31</v>
      </c>
      <c r="C9" s="60"/>
      <c r="E9" s="77" t="s">
        <v>156</v>
      </c>
      <c r="F9" s="76"/>
      <c r="G9" s="103" t="s">
        <v>157</v>
      </c>
    </row>
    <row r="10" spans="1:7" ht="15.75" x14ac:dyDescent="0.25">
      <c r="A10" s="58" t="s">
        <v>6</v>
      </c>
      <c r="B10" s="58" t="s">
        <v>218</v>
      </c>
      <c r="C10" s="60"/>
      <c r="E10" s="62" t="s">
        <v>158</v>
      </c>
      <c r="F10" s="56">
        <v>150</v>
      </c>
      <c r="G10" s="44">
        <v>260</v>
      </c>
    </row>
    <row r="11" spans="1:7" ht="16.5" thickBot="1" x14ac:dyDescent="0.3">
      <c r="A11" s="58" t="s">
        <v>8</v>
      </c>
      <c r="B11" s="58"/>
      <c r="C11" s="60"/>
      <c r="D11" s="44" t="s">
        <v>300</v>
      </c>
      <c r="E11" s="62" t="s">
        <v>160</v>
      </c>
      <c r="F11" s="56">
        <f>F10*1000/16</f>
        <v>9375</v>
      </c>
      <c r="G11" s="45">
        <f>G10*1000/16</f>
        <v>16250</v>
      </c>
    </row>
    <row r="12" spans="1:7" ht="15.75" x14ac:dyDescent="0.25">
      <c r="A12" s="378" t="s">
        <v>9</v>
      </c>
      <c r="B12" s="64" t="s">
        <v>121</v>
      </c>
      <c r="C12" s="197">
        <v>1.196E-2</v>
      </c>
      <c r="D12" s="162" t="s">
        <v>289</v>
      </c>
      <c r="E12" s="108">
        <f>C12*F11</f>
        <v>112.125</v>
      </c>
      <c r="F12" s="80"/>
      <c r="G12" s="44">
        <f>C12*G11</f>
        <v>194.35</v>
      </c>
    </row>
    <row r="13" spans="1:7" ht="15.75" x14ac:dyDescent="0.25">
      <c r="A13" s="379"/>
      <c r="B13" s="61" t="s">
        <v>219</v>
      </c>
      <c r="C13" s="68">
        <v>1.0399999999999999E-3</v>
      </c>
      <c r="D13" s="162" t="s">
        <v>301</v>
      </c>
      <c r="E13" s="78">
        <f>C13*F11</f>
        <v>9.75</v>
      </c>
      <c r="F13" s="80"/>
      <c r="G13" s="44">
        <f>C13*G11</f>
        <v>16.899999999999999</v>
      </c>
    </row>
    <row r="14" spans="1:7" ht="15.75" x14ac:dyDescent="0.25">
      <c r="A14" s="379"/>
      <c r="B14" s="61" t="s">
        <v>82</v>
      </c>
      <c r="C14" s="68">
        <v>2.3999999999999998E-3</v>
      </c>
      <c r="D14" s="162" t="s">
        <v>302</v>
      </c>
      <c r="E14" s="78">
        <f>C14*F11</f>
        <v>22.499999999999996</v>
      </c>
      <c r="F14" s="80"/>
      <c r="G14" s="44">
        <f>C14*G11</f>
        <v>39</v>
      </c>
    </row>
    <row r="15" spans="1:7" ht="15.75" x14ac:dyDescent="0.25">
      <c r="A15" s="379"/>
      <c r="B15" s="61" t="s">
        <v>220</v>
      </c>
      <c r="C15" s="68">
        <v>5.9999999999999995E-4</v>
      </c>
      <c r="D15" s="162" t="s">
        <v>303</v>
      </c>
      <c r="E15" s="78">
        <f>C15*F11</f>
        <v>5.6249999999999991</v>
      </c>
      <c r="F15" s="80"/>
      <c r="G15" s="44">
        <f>C15*G11</f>
        <v>9.75</v>
      </c>
    </row>
    <row r="16" spans="1:7" ht="15.75" x14ac:dyDescent="0.25">
      <c r="A16" s="379"/>
      <c r="B16" s="61" t="s">
        <v>10</v>
      </c>
      <c r="C16" s="68">
        <v>1.4544E-3</v>
      </c>
      <c r="D16" s="162" t="s">
        <v>291</v>
      </c>
      <c r="E16" s="79">
        <f>C16*F11</f>
        <v>13.635</v>
      </c>
      <c r="F16" s="81"/>
      <c r="G16" s="44">
        <f>C16*G11</f>
        <v>23.634</v>
      </c>
    </row>
    <row r="17" spans="1:7" ht="15.75" x14ac:dyDescent="0.25">
      <c r="A17" s="379"/>
      <c r="B17" s="61" t="s">
        <v>11</v>
      </c>
      <c r="C17" s="68">
        <v>1.3247999999999999E-3</v>
      </c>
      <c r="D17" s="162" t="s">
        <v>304</v>
      </c>
      <c r="E17" s="79">
        <f>C17*F11</f>
        <v>12.419999999999998</v>
      </c>
      <c r="F17" s="81"/>
      <c r="G17" s="44">
        <f>C17*G11</f>
        <v>21.527999999999999</v>
      </c>
    </row>
    <row r="18" spans="1:7" ht="15.75" x14ac:dyDescent="0.25">
      <c r="A18" s="379"/>
      <c r="B18" s="61" t="s">
        <v>12</v>
      </c>
      <c r="C18" s="117">
        <v>1</v>
      </c>
      <c r="D18" s="162" t="s">
        <v>305</v>
      </c>
      <c r="E18" s="79">
        <f>C18*F11</f>
        <v>9375</v>
      </c>
      <c r="F18" s="81"/>
      <c r="G18" s="44">
        <f>C18*G11</f>
        <v>16250</v>
      </c>
    </row>
    <row r="19" spans="1:7" ht="15.75" x14ac:dyDescent="0.25">
      <c r="A19" s="379"/>
      <c r="B19" s="61" t="s">
        <v>13</v>
      </c>
      <c r="C19" s="117">
        <v>1</v>
      </c>
      <c r="D19" s="198"/>
      <c r="E19" s="79">
        <f>C19*F11</f>
        <v>9375</v>
      </c>
      <c r="F19" s="81"/>
      <c r="G19" s="44">
        <f>C19*G11</f>
        <v>16250</v>
      </c>
    </row>
    <row r="20" spans="1:7" ht="15.75" x14ac:dyDescent="0.25">
      <c r="A20" s="379"/>
      <c r="B20" s="61" t="s">
        <v>145</v>
      </c>
      <c r="C20" s="117">
        <v>1</v>
      </c>
      <c r="D20" s="200" t="s">
        <v>296</v>
      </c>
      <c r="E20" s="84">
        <f>C20*F11</f>
        <v>9375</v>
      </c>
      <c r="G20" s="44">
        <f>C20*G11</f>
        <v>16250</v>
      </c>
    </row>
    <row r="21" spans="1:7" ht="15.75" thickBot="1" x14ac:dyDescent="0.3">
      <c r="A21" s="380"/>
      <c r="B21" s="65" t="s">
        <v>165</v>
      </c>
      <c r="C21" s="199">
        <v>0.01</v>
      </c>
      <c r="D21" s="105" t="s">
        <v>306</v>
      </c>
      <c r="E21" s="84">
        <f>C21*F11</f>
        <v>93.75</v>
      </c>
      <c r="G21" s="44">
        <f>C21*G11</f>
        <v>162.5</v>
      </c>
    </row>
    <row r="24" spans="1:7" ht="15.75" x14ac:dyDescent="0.25">
      <c r="A24" s="124" t="s">
        <v>233</v>
      </c>
      <c r="B24" s="124" t="s">
        <v>233</v>
      </c>
      <c r="C24" s="125" t="s">
        <v>234</v>
      </c>
      <c r="D24" s="120"/>
    </row>
    <row r="25" spans="1:7" ht="15.75" x14ac:dyDescent="0.25">
      <c r="A25" s="122" t="s">
        <v>235</v>
      </c>
      <c r="B25" s="122" t="s">
        <v>236</v>
      </c>
      <c r="C25" s="123" t="s">
        <v>237</v>
      </c>
      <c r="D25" s="120"/>
    </row>
    <row r="26" spans="1:7" ht="15.75" x14ac:dyDescent="0.25">
      <c r="A26" s="122" t="s">
        <v>238</v>
      </c>
      <c r="B26" s="122" t="s">
        <v>239</v>
      </c>
      <c r="C26" s="123" t="s">
        <v>240</v>
      </c>
      <c r="D26" s="120"/>
    </row>
    <row r="27" spans="1:7" x14ac:dyDescent="0.25">
      <c r="A27" s="121"/>
      <c r="B27" s="121"/>
      <c r="C27" s="120"/>
      <c r="D27" s="120"/>
    </row>
    <row r="28" spans="1:7" x14ac:dyDescent="0.25">
      <c r="A28" s="121"/>
      <c r="B28" s="121"/>
    </row>
    <row r="29" spans="1:7" x14ac:dyDescent="0.25">
      <c r="A29" s="121"/>
      <c r="B29" s="121"/>
    </row>
  </sheetData>
  <mergeCells count="1">
    <mergeCell ref="A12:A21"/>
  </mergeCells>
  <pageMargins left="0.7" right="0.7" top="0.75" bottom="0.75" header="0.3" footer="0.3"/>
  <pageSetup paperSize="9" orientation="landscape" r:id="rId1"/>
  <legacyDrawing r:id="rId2"/>
</worksheet>
</file>

<file path=xl/worksheets/sheet5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7"/>
  <dimension ref="A3:H30"/>
  <sheetViews>
    <sheetView topLeftCell="A4" workbookViewId="0">
      <selection activeCell="H19" sqref="H19"/>
    </sheetView>
  </sheetViews>
  <sheetFormatPr baseColWidth="10" defaultRowHeight="15" x14ac:dyDescent="0.25"/>
  <cols>
    <col min="1" max="1" width="28.5703125" customWidth="1"/>
    <col min="2" max="2" width="38.7109375" customWidth="1"/>
    <col min="3" max="3" width="13.28515625" customWidth="1"/>
    <col min="4" max="4" width="2.7109375" style="162" customWidth="1"/>
    <col min="5" max="5" width="10" customWidth="1"/>
  </cols>
  <sheetData>
    <row r="3" spans="1:8" ht="20.25" x14ac:dyDescent="0.3">
      <c r="A3" s="57"/>
      <c r="B3" s="59" t="s">
        <v>0</v>
      </c>
      <c r="C3" s="57"/>
      <c r="D3" s="57"/>
    </row>
    <row r="4" spans="1:8" ht="15.75" x14ac:dyDescent="0.25">
      <c r="A4" s="57"/>
      <c r="B4" s="57"/>
      <c r="C4" s="57"/>
      <c r="D4" s="57"/>
    </row>
    <row r="5" spans="1:8" ht="20.25" x14ac:dyDescent="0.3">
      <c r="A5" s="107" t="s">
        <v>480</v>
      </c>
      <c r="B5" s="59" t="s">
        <v>225</v>
      </c>
      <c r="C5" s="57"/>
      <c r="D5" s="57"/>
    </row>
    <row r="6" spans="1:8" ht="20.25" x14ac:dyDescent="0.3">
      <c r="A6" s="59"/>
      <c r="B6" s="57"/>
      <c r="C6" s="57"/>
      <c r="D6" s="57"/>
    </row>
    <row r="7" spans="1:8" ht="15.75" x14ac:dyDescent="0.25">
      <c r="A7" s="58" t="s">
        <v>1</v>
      </c>
      <c r="B7" s="58" t="s">
        <v>226</v>
      </c>
      <c r="C7" s="60"/>
      <c r="D7" s="60"/>
    </row>
    <row r="8" spans="1:8" ht="15.75" x14ac:dyDescent="0.25">
      <c r="A8" s="58" t="s">
        <v>2</v>
      </c>
      <c r="B8" s="58" t="s">
        <v>3</v>
      </c>
      <c r="C8" s="60"/>
      <c r="D8" s="60"/>
    </row>
    <row r="9" spans="1:8" ht="16.5" thickBot="1" x14ac:dyDescent="0.3">
      <c r="A9" s="58" t="s">
        <v>4</v>
      </c>
      <c r="B9" s="58" t="s">
        <v>163</v>
      </c>
      <c r="C9" s="60"/>
      <c r="D9" s="60"/>
    </row>
    <row r="10" spans="1:8" ht="16.5" thickBot="1" x14ac:dyDescent="0.3">
      <c r="A10" s="58" t="s">
        <v>5</v>
      </c>
      <c r="B10" s="58" t="s">
        <v>31</v>
      </c>
      <c r="C10" s="60"/>
      <c r="D10" s="60"/>
      <c r="F10" s="77" t="s">
        <v>156</v>
      </c>
      <c r="G10" s="76"/>
      <c r="H10" s="103" t="s">
        <v>157</v>
      </c>
    </row>
    <row r="11" spans="1:8" ht="15.75" x14ac:dyDescent="0.25">
      <c r="A11" s="58" t="s">
        <v>6</v>
      </c>
      <c r="B11" s="58" t="s">
        <v>218</v>
      </c>
      <c r="C11" s="60"/>
      <c r="D11" s="60"/>
      <c r="F11" s="62" t="s">
        <v>158</v>
      </c>
      <c r="G11" s="56">
        <v>165</v>
      </c>
      <c r="H11" s="44">
        <v>286</v>
      </c>
    </row>
    <row r="12" spans="1:8" ht="16.5" thickBot="1" x14ac:dyDescent="0.3">
      <c r="A12" s="58" t="s">
        <v>8</v>
      </c>
      <c r="B12" s="58"/>
      <c r="C12" s="60"/>
      <c r="D12" s="60"/>
      <c r="E12" s="44" t="s">
        <v>299</v>
      </c>
      <c r="F12" s="62" t="s">
        <v>160</v>
      </c>
      <c r="G12" s="56">
        <f>G11*1000/8.8</f>
        <v>18750</v>
      </c>
      <c r="H12" s="44">
        <f>H11*1000/8.8</f>
        <v>32499.999999999996</v>
      </c>
    </row>
    <row r="13" spans="1:8" ht="15.75" x14ac:dyDescent="0.25">
      <c r="A13" s="378" t="s">
        <v>9</v>
      </c>
      <c r="B13" s="64" t="s">
        <v>121</v>
      </c>
      <c r="C13" s="70">
        <v>6.7279999999999996E-3</v>
      </c>
      <c r="D13" s="107" t="s">
        <v>174</v>
      </c>
      <c r="E13" s="162" t="s">
        <v>289</v>
      </c>
      <c r="F13" s="108">
        <f>C13*G12</f>
        <v>126.14999999999999</v>
      </c>
      <c r="G13" s="80"/>
      <c r="H13" s="44">
        <f>C13*H12</f>
        <v>218.65999999999997</v>
      </c>
    </row>
    <row r="14" spans="1:8" ht="15.75" x14ac:dyDescent="0.25">
      <c r="A14" s="379"/>
      <c r="B14" s="61" t="s">
        <v>219</v>
      </c>
      <c r="C14" s="71">
        <v>5.1999999999999995E-4</v>
      </c>
      <c r="D14" s="107" t="s">
        <v>174</v>
      </c>
      <c r="E14" s="162" t="s">
        <v>301</v>
      </c>
      <c r="F14" s="78">
        <f>C14*G12</f>
        <v>9.75</v>
      </c>
      <c r="G14" s="80"/>
      <c r="H14" s="44">
        <f>C14*H12</f>
        <v>16.899999999999995</v>
      </c>
    </row>
    <row r="15" spans="1:8" ht="15.75" x14ac:dyDescent="0.25">
      <c r="A15" s="379"/>
      <c r="B15" s="61" t="s">
        <v>82</v>
      </c>
      <c r="C15" s="71">
        <v>1.1999999999999999E-3</v>
      </c>
      <c r="D15" s="56" t="s">
        <v>174</v>
      </c>
      <c r="E15" s="162" t="s">
        <v>302</v>
      </c>
      <c r="F15" s="78">
        <f>C15*G12</f>
        <v>22.499999999999996</v>
      </c>
      <c r="G15" s="80"/>
      <c r="H15" s="44">
        <f>C15*H12</f>
        <v>38.999999999999993</v>
      </c>
    </row>
    <row r="16" spans="1:8" ht="15.75" x14ac:dyDescent="0.25">
      <c r="A16" s="379"/>
      <c r="B16" s="61" t="s">
        <v>220</v>
      </c>
      <c r="C16" s="71">
        <v>3.5199999999999999E-4</v>
      </c>
      <c r="D16" s="56" t="s">
        <v>174</v>
      </c>
      <c r="E16" s="162" t="s">
        <v>303</v>
      </c>
      <c r="F16" s="78">
        <f>C16*G12</f>
        <v>6.6</v>
      </c>
      <c r="G16" s="80"/>
      <c r="H16" s="44">
        <f>C16*H12</f>
        <v>11.439999999999998</v>
      </c>
    </row>
    <row r="17" spans="1:8" ht="15.75" x14ac:dyDescent="0.25">
      <c r="A17" s="379"/>
      <c r="B17" s="61" t="s">
        <v>10</v>
      </c>
      <c r="C17" s="71">
        <v>1.4544E-3</v>
      </c>
      <c r="D17" s="56" t="s">
        <v>174</v>
      </c>
      <c r="E17" s="162" t="s">
        <v>291</v>
      </c>
      <c r="F17" s="79">
        <f>C17*G12</f>
        <v>27.27</v>
      </c>
      <c r="G17" s="81"/>
      <c r="H17" s="205">
        <f>C17*H12</f>
        <v>47.267999999999994</v>
      </c>
    </row>
    <row r="18" spans="1:8" ht="15.75" x14ac:dyDescent="0.25">
      <c r="A18" s="379"/>
      <c r="B18" s="61" t="s">
        <v>11</v>
      </c>
      <c r="C18" s="71">
        <v>1.3247999999999999E-3</v>
      </c>
      <c r="D18" s="56" t="s">
        <v>174</v>
      </c>
      <c r="E18" s="162" t="s">
        <v>304</v>
      </c>
      <c r="F18" s="79">
        <f>C18*G12</f>
        <v>24.839999999999996</v>
      </c>
      <c r="G18" s="81"/>
      <c r="H18" s="205">
        <f>C18*H12</f>
        <v>43.05599999999999</v>
      </c>
    </row>
    <row r="19" spans="1:8" ht="15.75" x14ac:dyDescent="0.25">
      <c r="A19" s="379"/>
      <c r="B19" s="61" t="s">
        <v>12</v>
      </c>
      <c r="C19" s="115">
        <v>1</v>
      </c>
      <c r="D19" s="107" t="s">
        <v>161</v>
      </c>
      <c r="E19" s="162" t="s">
        <v>305</v>
      </c>
      <c r="F19" s="79">
        <f>C19*G12</f>
        <v>18750</v>
      </c>
      <c r="G19" s="81"/>
      <c r="H19" s="44">
        <f>C19*H12</f>
        <v>32499.999999999996</v>
      </c>
    </row>
    <row r="20" spans="1:8" ht="15.75" x14ac:dyDescent="0.25">
      <c r="A20" s="379"/>
      <c r="B20" s="61" t="s">
        <v>13</v>
      </c>
      <c r="C20" s="115">
        <v>1</v>
      </c>
      <c r="D20" s="56" t="s">
        <v>161</v>
      </c>
      <c r="E20" s="162" t="s">
        <v>307</v>
      </c>
      <c r="F20" s="79">
        <f>C20*G12</f>
        <v>18750</v>
      </c>
      <c r="G20" s="81"/>
      <c r="H20" s="44">
        <f>C20*H12</f>
        <v>32499.999999999996</v>
      </c>
    </row>
    <row r="21" spans="1:8" ht="15.75" x14ac:dyDescent="0.25">
      <c r="A21" s="379"/>
      <c r="B21" s="61" t="s">
        <v>145</v>
      </c>
      <c r="C21" s="115">
        <v>1</v>
      </c>
      <c r="D21" s="56" t="s">
        <v>161</v>
      </c>
      <c r="E21" s="162" t="s">
        <v>296</v>
      </c>
      <c r="F21" s="84">
        <f>C21*G12</f>
        <v>18750</v>
      </c>
      <c r="H21" s="44">
        <f>C21*H12</f>
        <v>32499.999999999996</v>
      </c>
    </row>
    <row r="22" spans="1:8" ht="15.75" thickBot="1" x14ac:dyDescent="0.3">
      <c r="A22" s="380"/>
      <c r="B22" s="65" t="s">
        <v>165</v>
      </c>
      <c r="C22" s="66">
        <v>0.01</v>
      </c>
      <c r="D22" s="56" t="s">
        <v>161</v>
      </c>
      <c r="E22" s="162" t="s">
        <v>306</v>
      </c>
      <c r="F22" s="84">
        <f>C22*G12</f>
        <v>187.5</v>
      </c>
      <c r="H22" s="44">
        <f>C22*H12</f>
        <v>324.99999999999994</v>
      </c>
    </row>
    <row r="26" spans="1:8" ht="15.75" x14ac:dyDescent="0.25">
      <c r="A26" s="124" t="s">
        <v>233</v>
      </c>
      <c r="B26" s="124" t="s">
        <v>233</v>
      </c>
      <c r="C26" s="125" t="s">
        <v>234</v>
      </c>
      <c r="D26" s="125"/>
      <c r="E26" s="120"/>
    </row>
    <row r="27" spans="1:8" ht="15.75" x14ac:dyDescent="0.25">
      <c r="A27" s="122" t="s">
        <v>235</v>
      </c>
      <c r="B27" s="122" t="s">
        <v>236</v>
      </c>
      <c r="C27" s="123" t="s">
        <v>237</v>
      </c>
      <c r="D27" s="123"/>
      <c r="E27" s="120"/>
    </row>
    <row r="28" spans="1:8" ht="15.75" x14ac:dyDescent="0.25">
      <c r="A28" s="122" t="s">
        <v>238</v>
      </c>
      <c r="B28" s="122" t="s">
        <v>239</v>
      </c>
      <c r="C28" s="123" t="s">
        <v>240</v>
      </c>
      <c r="D28" s="123"/>
      <c r="E28" s="120"/>
    </row>
    <row r="29" spans="1:8" x14ac:dyDescent="0.25">
      <c r="A29" s="121"/>
      <c r="B29" s="121"/>
      <c r="C29" s="120"/>
      <c r="E29" s="120"/>
    </row>
    <row r="30" spans="1:8" x14ac:dyDescent="0.25">
      <c r="A30" s="121"/>
      <c r="B30" s="121"/>
    </row>
  </sheetData>
  <mergeCells count="1">
    <mergeCell ref="A13:A22"/>
  </mergeCells>
  <pageMargins left="0.7" right="0.7" top="0.75" bottom="0.75" header="0.3" footer="0.3"/>
  <pageSetup paperSize="9" orientation="landscape" r:id="rId1"/>
  <legacyDrawing r:id="rId2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8"/>
  <dimension ref="A1:H28"/>
  <sheetViews>
    <sheetView workbookViewId="0">
      <selection activeCell="H24" sqref="H24"/>
    </sheetView>
  </sheetViews>
  <sheetFormatPr baseColWidth="10" defaultRowHeight="15" x14ac:dyDescent="0.25"/>
  <cols>
    <col min="1" max="1" width="27.140625" customWidth="1"/>
    <col min="2" max="2" width="36.5703125" customWidth="1"/>
    <col min="3" max="3" width="12.28515625" customWidth="1"/>
    <col min="4" max="4" width="7.5703125" style="162" customWidth="1"/>
    <col min="5" max="5" width="11.28515625" customWidth="1"/>
  </cols>
  <sheetData>
    <row r="1" spans="1:8" x14ac:dyDescent="0.25">
      <c r="A1" t="s">
        <v>471</v>
      </c>
    </row>
    <row r="3" spans="1:8" ht="20.25" x14ac:dyDescent="0.3">
      <c r="A3" s="57"/>
      <c r="B3" s="59" t="s">
        <v>0</v>
      </c>
      <c r="C3" s="57"/>
      <c r="D3" s="57"/>
    </row>
    <row r="4" spans="1:8" ht="15.75" x14ac:dyDescent="0.25">
      <c r="A4" s="57"/>
      <c r="B4" s="57"/>
      <c r="C4" s="57"/>
      <c r="D4" s="57"/>
    </row>
    <row r="5" spans="1:8" ht="20.25" x14ac:dyDescent="0.3">
      <c r="A5" s="56"/>
      <c r="B5" s="59" t="s">
        <v>227</v>
      </c>
      <c r="C5" s="57"/>
      <c r="D5" s="57"/>
    </row>
    <row r="6" spans="1:8" ht="20.25" x14ac:dyDescent="0.3">
      <c r="A6" s="59"/>
      <c r="B6" s="57"/>
      <c r="C6" s="57"/>
      <c r="D6" s="57"/>
    </row>
    <row r="7" spans="1:8" ht="15.75" x14ac:dyDescent="0.25">
      <c r="A7" s="58" t="s">
        <v>1</v>
      </c>
      <c r="B7" s="58" t="s">
        <v>187</v>
      </c>
      <c r="C7" s="60"/>
      <c r="D7" s="60"/>
    </row>
    <row r="8" spans="1:8" ht="15.75" x14ac:dyDescent="0.25">
      <c r="A8" s="58" t="s">
        <v>2</v>
      </c>
      <c r="B8" s="58" t="s">
        <v>3</v>
      </c>
      <c r="C8" s="60"/>
      <c r="D8" s="60"/>
    </row>
    <row r="9" spans="1:8" ht="16.5" thickBot="1" x14ac:dyDescent="0.3">
      <c r="A9" s="58" t="s">
        <v>4</v>
      </c>
      <c r="B9" s="58" t="s">
        <v>30</v>
      </c>
      <c r="C9" s="60"/>
      <c r="D9" s="60"/>
    </row>
    <row r="10" spans="1:8" ht="16.5" thickBot="1" x14ac:dyDescent="0.3">
      <c r="A10" s="58" t="s">
        <v>5</v>
      </c>
      <c r="B10" s="58" t="s">
        <v>31</v>
      </c>
      <c r="C10" s="60"/>
      <c r="D10" s="60"/>
      <c r="F10" s="77" t="s">
        <v>156</v>
      </c>
      <c r="G10" s="76"/>
      <c r="H10" s="103" t="s">
        <v>157</v>
      </c>
    </row>
    <row r="11" spans="1:8" ht="15.75" x14ac:dyDescent="0.25">
      <c r="A11" s="58" t="s">
        <v>6</v>
      </c>
      <c r="B11" s="58" t="s">
        <v>113</v>
      </c>
      <c r="C11" s="60"/>
      <c r="D11" s="60"/>
      <c r="F11" s="62" t="s">
        <v>158</v>
      </c>
      <c r="G11" s="56">
        <v>150</v>
      </c>
      <c r="H11" s="44">
        <v>260</v>
      </c>
    </row>
    <row r="12" spans="1:8" ht="16.5" thickBot="1" x14ac:dyDescent="0.3">
      <c r="A12" s="58" t="s">
        <v>8</v>
      </c>
      <c r="B12" s="58"/>
      <c r="C12" s="60"/>
      <c r="D12" s="60"/>
      <c r="E12" s="44" t="s">
        <v>308</v>
      </c>
      <c r="F12" s="62" t="s">
        <v>160</v>
      </c>
      <c r="G12" s="56">
        <f>G11*1000/20</f>
        <v>7500</v>
      </c>
      <c r="H12" s="44">
        <f>H11*1000/20</f>
        <v>13000</v>
      </c>
    </row>
    <row r="13" spans="1:8" ht="15.75" x14ac:dyDescent="0.25">
      <c r="A13" s="378" t="s">
        <v>9</v>
      </c>
      <c r="B13" s="64" t="s">
        <v>32</v>
      </c>
      <c r="C13" s="70">
        <v>1.9800000000000002E-2</v>
      </c>
      <c r="D13" s="56" t="s">
        <v>174</v>
      </c>
      <c r="E13" s="44" t="s">
        <v>289</v>
      </c>
      <c r="F13" s="108">
        <f>C13*G12</f>
        <v>148.5</v>
      </c>
      <c r="G13" s="80"/>
      <c r="H13" s="44">
        <f>C13*H12</f>
        <v>257.40000000000003</v>
      </c>
    </row>
    <row r="14" spans="1:8" ht="15.75" x14ac:dyDescent="0.25">
      <c r="A14" s="379"/>
      <c r="B14" s="61" t="s">
        <v>228</v>
      </c>
      <c r="C14" s="71">
        <v>2.0000000000000001E-4</v>
      </c>
      <c r="D14" s="107" t="s">
        <v>174</v>
      </c>
      <c r="E14" s="44" t="s">
        <v>309</v>
      </c>
      <c r="F14" s="78">
        <f>C14*G12</f>
        <v>1.5</v>
      </c>
      <c r="G14" s="80"/>
      <c r="H14" s="44">
        <f>C14*H12</f>
        <v>2.6</v>
      </c>
    </row>
    <row r="15" spans="1:8" ht="15.75" x14ac:dyDescent="0.25">
      <c r="A15" s="379"/>
      <c r="B15" s="61" t="s">
        <v>10</v>
      </c>
      <c r="C15" s="71">
        <v>1.818E-3</v>
      </c>
      <c r="D15" s="56" t="s">
        <v>174</v>
      </c>
      <c r="E15" s="44" t="s">
        <v>291</v>
      </c>
      <c r="F15" s="78">
        <f>C15*G12</f>
        <v>13.635</v>
      </c>
      <c r="G15" s="80"/>
      <c r="H15" s="44">
        <f>C15*H12</f>
        <v>23.634</v>
      </c>
    </row>
    <row r="16" spans="1:8" ht="15.75" x14ac:dyDescent="0.25">
      <c r="A16" s="379"/>
      <c r="B16" s="61" t="s">
        <v>11</v>
      </c>
      <c r="C16" s="71">
        <v>1.6559999999999999E-3</v>
      </c>
      <c r="D16" s="56" t="s">
        <v>174</v>
      </c>
      <c r="E16" s="44" t="s">
        <v>310</v>
      </c>
      <c r="F16" s="78">
        <f>C16*G12</f>
        <v>12.42</v>
      </c>
      <c r="G16" s="80"/>
      <c r="H16" s="44">
        <f>C16*H12</f>
        <v>21.527999999999999</v>
      </c>
    </row>
    <row r="17" spans="1:8" ht="15.75" x14ac:dyDescent="0.25">
      <c r="A17" s="379"/>
      <c r="B17" s="61" t="s">
        <v>12</v>
      </c>
      <c r="C17" s="71">
        <v>1</v>
      </c>
      <c r="D17" s="56" t="s">
        <v>174</v>
      </c>
      <c r="E17" s="44" t="s">
        <v>311</v>
      </c>
      <c r="F17" s="79">
        <f>C17*G12</f>
        <v>7500</v>
      </c>
      <c r="G17" s="81"/>
      <c r="H17" s="44">
        <f>C17*H12</f>
        <v>13000</v>
      </c>
    </row>
    <row r="18" spans="1:8" ht="15.75" x14ac:dyDescent="0.25">
      <c r="A18" s="379"/>
      <c r="B18" s="61" t="s">
        <v>13</v>
      </c>
      <c r="C18" s="71">
        <v>1</v>
      </c>
      <c r="D18" s="56" t="s">
        <v>174</v>
      </c>
      <c r="E18" s="44" t="s">
        <v>312</v>
      </c>
      <c r="F18" s="79">
        <f>C18*G12</f>
        <v>7500</v>
      </c>
      <c r="G18" s="81"/>
      <c r="H18" s="44">
        <f>C18*H12</f>
        <v>13000</v>
      </c>
    </row>
    <row r="19" spans="1:8" ht="15.75" x14ac:dyDescent="0.25">
      <c r="A19" s="379"/>
      <c r="B19" s="61" t="s">
        <v>14</v>
      </c>
      <c r="C19" s="71">
        <v>1</v>
      </c>
      <c r="D19" s="107" t="s">
        <v>161</v>
      </c>
      <c r="E19" s="44" t="s">
        <v>276</v>
      </c>
      <c r="F19" s="79">
        <f>C19*G12</f>
        <v>7500</v>
      </c>
      <c r="G19" s="81"/>
      <c r="H19" s="44">
        <f>C19*H12</f>
        <v>13000</v>
      </c>
    </row>
    <row r="20" spans="1:8" ht="16.5" thickBot="1" x14ac:dyDescent="0.3">
      <c r="A20" s="380"/>
      <c r="B20" s="72" t="s">
        <v>15</v>
      </c>
      <c r="C20" s="73">
        <v>0.01</v>
      </c>
      <c r="D20" s="56" t="s">
        <v>161</v>
      </c>
      <c r="E20" s="44" t="s">
        <v>281</v>
      </c>
      <c r="F20" s="79">
        <f>C20*G12</f>
        <v>75</v>
      </c>
      <c r="G20" s="81"/>
      <c r="H20" s="44">
        <f>C20*H12</f>
        <v>130</v>
      </c>
    </row>
    <row r="21" spans="1:8" x14ac:dyDescent="0.25">
      <c r="E21" s="56"/>
      <c r="F21" s="86"/>
      <c r="H21" s="87"/>
    </row>
    <row r="23" spans="1:8" ht="15.75" x14ac:dyDescent="0.25">
      <c r="A23" s="124" t="s">
        <v>233</v>
      </c>
      <c r="B23" s="124" t="s">
        <v>233</v>
      </c>
      <c r="C23" s="125" t="s">
        <v>234</v>
      </c>
      <c r="D23" s="125"/>
      <c r="E23" s="120"/>
    </row>
    <row r="24" spans="1:8" ht="15.75" x14ac:dyDescent="0.25">
      <c r="A24" s="122" t="s">
        <v>235</v>
      </c>
      <c r="B24" s="122" t="s">
        <v>236</v>
      </c>
      <c r="C24" s="123" t="s">
        <v>237</v>
      </c>
      <c r="D24" s="123"/>
      <c r="E24" s="120"/>
    </row>
    <row r="25" spans="1:8" ht="15.75" x14ac:dyDescent="0.25">
      <c r="A25" s="122" t="s">
        <v>238</v>
      </c>
      <c r="B25" s="122" t="s">
        <v>239</v>
      </c>
      <c r="C25" s="123" t="s">
        <v>240</v>
      </c>
      <c r="D25" s="123"/>
      <c r="E25" s="120"/>
    </row>
    <row r="26" spans="1:8" x14ac:dyDescent="0.25">
      <c r="A26" s="121"/>
      <c r="B26" s="121"/>
      <c r="C26" s="120"/>
      <c r="E26" s="120"/>
    </row>
    <row r="27" spans="1:8" x14ac:dyDescent="0.25">
      <c r="A27" s="121"/>
      <c r="B27" s="121"/>
    </row>
    <row r="28" spans="1:8" x14ac:dyDescent="0.25">
      <c r="A28" s="121"/>
      <c r="B28" s="121"/>
    </row>
  </sheetData>
  <mergeCells count="1">
    <mergeCell ref="A13:A20"/>
  </mergeCells>
  <pageMargins left="0.7" right="0.7" top="0.75" bottom="0.75" header="0.3" footer="0.3"/>
  <pageSetup paperSize="9" orientation="landscape" r:id="rId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9"/>
  <dimension ref="A1"/>
  <sheetViews>
    <sheetView topLeftCell="A17" workbookViewId="0">
      <selection activeCell="C43" sqref="C43"/>
    </sheetView>
  </sheetViews>
  <sheetFormatPr baseColWidth="10" defaultRowHeight="15" x14ac:dyDescent="0.25"/>
  <sheetData/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60</vt:i4>
      </vt:variant>
    </vt:vector>
  </HeadingPairs>
  <TitlesOfParts>
    <vt:vector size="60" baseType="lpstr">
      <vt:lpstr>Feuil5</vt:lpstr>
      <vt:lpstr>ALPROFENE </vt:lpstr>
      <vt:lpstr>AMLODEX</vt:lpstr>
      <vt:lpstr>ASPEVASC</vt:lpstr>
      <vt:lpstr>CAPTOPRIL LS25</vt:lpstr>
      <vt:lpstr>CAPTOPRIL LS50</vt:lpstr>
      <vt:lpstr>CETALGINE 100</vt:lpstr>
      <vt:lpstr>CETALGINE 150</vt:lpstr>
      <vt:lpstr>CETALGINE 200</vt:lpstr>
      <vt:lpstr>CETALGINE 300</vt:lpstr>
      <vt:lpstr>CLORAXENE 5</vt:lpstr>
      <vt:lpstr>CLORAXENE 10</vt:lpstr>
      <vt:lpstr>COPARAMOL</vt:lpstr>
      <vt:lpstr>COPARAMOL sous-lots</vt:lpstr>
      <vt:lpstr>DIGESTAT</vt:lpstr>
      <vt:lpstr>DIGESTAT 200</vt:lpstr>
      <vt:lpstr>ECOVAR LP</vt:lpstr>
      <vt:lpstr>ECOVAR</vt:lpstr>
      <vt:lpstr>FENAQUENE 25</vt:lpstr>
      <vt:lpstr>FENAQUENE 50</vt:lpstr>
      <vt:lpstr>FENAQUENE 100</vt:lpstr>
      <vt:lpstr>FONGYNE</vt:lpstr>
      <vt:lpstr>HYDREX</vt:lpstr>
      <vt:lpstr>Glycérine Bébé</vt:lpstr>
      <vt:lpstr>Glycérine Enfant</vt:lpstr>
      <vt:lpstr>Glycérine Adulte</vt:lpstr>
      <vt:lpstr>LAXADYL 5</vt:lpstr>
      <vt:lpstr>LAXADYL10</vt:lpstr>
      <vt:lpstr>MEFESTAN125</vt:lpstr>
      <vt:lpstr>MEFESTAN 250</vt:lpstr>
      <vt:lpstr>MEFESTAN 500</vt:lpstr>
      <vt:lpstr>NIFLUMENE 200</vt:lpstr>
      <vt:lpstr>NIFLUMENE 250</vt:lpstr>
      <vt:lpstr>NIFLUMENE 400</vt:lpstr>
      <vt:lpstr>NIFLUMENE 700</vt:lpstr>
      <vt:lpstr>PARAMOL 500</vt:lpstr>
      <vt:lpstr>PARAMOL1000</vt:lpstr>
      <vt:lpstr>PARAMOL1000 GF</vt:lpstr>
      <vt:lpstr>PARAMOL EXTRA</vt:lpstr>
      <vt:lpstr>PIROXAL</vt:lpstr>
      <vt:lpstr>PRIAZIDE</vt:lpstr>
      <vt:lpstr>PROCTOLON</vt:lpstr>
      <vt:lpstr>RAMITEC 2,5</vt:lpstr>
      <vt:lpstr>RAMITEC 5</vt:lpstr>
      <vt:lpstr>RAMITEC10</vt:lpstr>
      <vt:lpstr>SPASMOL </vt:lpstr>
      <vt:lpstr>SULPIRIDE LS 50</vt:lpstr>
      <vt:lpstr>TEMESTA 1 </vt:lpstr>
      <vt:lpstr>TEMESTA 2,5</vt:lpstr>
      <vt:lpstr>TRAMADOL LS 50</vt:lpstr>
      <vt:lpstr>TRAMADOL LS 100</vt:lpstr>
      <vt:lpstr>TRAMADOL PLUS</vt:lpstr>
      <vt:lpstr>TROPHYL ENFANT</vt:lpstr>
      <vt:lpstr>TROPHYL NOURRISSON</vt:lpstr>
      <vt:lpstr>TROPHYL PLUS ENFANTS</vt:lpstr>
      <vt:lpstr>TROPHYL PLUS NOURRISSON</vt:lpstr>
      <vt:lpstr>VISCERALENE</vt:lpstr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farida lalouni</dc:creator>
  <cp:lastModifiedBy>Hosni</cp:lastModifiedBy>
  <cp:lastPrinted>2016-08-16T13:48:00Z</cp:lastPrinted>
  <dcterms:created xsi:type="dcterms:W3CDTF">2013-12-11T11:52:35Z</dcterms:created>
  <dcterms:modified xsi:type="dcterms:W3CDTF">2016-08-29T16:56:01Z</dcterms:modified>
</cp:coreProperties>
</file>