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persons/person.xml" ContentType="application/vnd.ms-excel.person+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filterPrivacy="1"/>
  <xr:revisionPtr revIDLastSave="0" documentId="8_{B3307725-1FF7-49BA-8375-17484470BD82}" xr6:coauthVersionLast="47" xr6:coauthVersionMax="47" xr10:uidLastSave="{00000000-0000-0000-0000-000000000000}"/>
  <bookViews>
    <workbookView xWindow="-108" yWindow="-108" windowWidth="23256" windowHeight="12456" tabRatio="932"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CalendarYear">Janvier!$AH$6</definedName>
    <definedName name="CléCongé">Janvier!$C$4</definedName>
    <definedName name="CléMaladie">Janvier!$J$4</definedName>
    <definedName name="CléPersonnalisée1">Janvier!$N$4</definedName>
    <definedName name="CléPersonnalisée2">Janvier!$S$4</definedName>
    <definedName name="CléPersonnel">Janvier!$F$4</definedName>
    <definedName name="ÉtiquetteCléCongé">Janvier!$D$4</definedName>
    <definedName name="ÉtiquetteCléMaladie">Janvier!$K$4</definedName>
    <definedName name="ÉtiquetteCléPersonnalisée1">Janvier!$O$4</definedName>
    <definedName name="ÉtiquetteCléPersonnalisée2">Janvier!$T$4</definedName>
    <definedName name="ÉtiquetteCléPersonnel">Janvier!$G$4</definedName>
    <definedName name="_xlnm.Print_Titles" localSheetId="7">Août!$6:$8</definedName>
    <definedName name="_xlnm.Print_Titles" localSheetId="3">Avril!$7:$9</definedName>
    <definedName name="_xlnm.Print_Titles" localSheetId="11">Décembre!$6:$8</definedName>
    <definedName name="_xlnm.Print_Titles" localSheetId="1">Février!$6:$8</definedName>
    <definedName name="_xlnm.Print_Titles" localSheetId="0">Janvier!$6:$8</definedName>
    <definedName name="_xlnm.Print_Titles" localSheetId="6">Juillet!$7:$8</definedName>
    <definedName name="_xlnm.Print_Titles" localSheetId="5">Juin!$6:$8</definedName>
    <definedName name="_xlnm.Print_Titles" localSheetId="4">Mai!$4:$6</definedName>
    <definedName name="_xlnm.Print_Titles" localSheetId="2">Mars!$6:$8</definedName>
    <definedName name="_xlnm.Print_Titles" localSheetId="10">Novembre!$6:$8</definedName>
    <definedName name="_xlnm.Print_Titles" localSheetId="9">Octobre!$6:$8</definedName>
    <definedName name="_xlnm.Print_Titles" localSheetId="8">Septembre!$6:$8</definedName>
    <definedName name="Nom_clé">Janvier!$B$4</definedName>
    <definedName name="NomMois" localSheetId="7">Août!$B$2</definedName>
    <definedName name="NomMois" localSheetId="3">Avril!$B$2</definedName>
    <definedName name="NomMois" localSheetId="11">Décembre!$B$2</definedName>
    <definedName name="NomMois" localSheetId="1">Février!$B$2</definedName>
    <definedName name="NomMois" localSheetId="0">Janvier!$B$2</definedName>
    <definedName name="NomMois" localSheetId="6">Juillet!$B$2</definedName>
    <definedName name="NomMois" localSheetId="5">Juin!$B$2</definedName>
    <definedName name="NomMois" localSheetId="4">Mai!$B$4</definedName>
    <definedName name="NomMois" localSheetId="2">Mars!$B$2</definedName>
    <definedName name="NomMois" localSheetId="10">Novembre!$B$2</definedName>
    <definedName name="NomMois" localSheetId="9">Octobre!$B$2</definedName>
    <definedName name="NomMois" localSheetId="8">Septembre!$B$2</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March5[[#Headers],[Nom de l’employé]]</definedName>
    <definedName name="Titre5">March58[[#Headers],[Nom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G7" i="15" l="1"/>
  <c r="AF7" i="15"/>
  <c r="AE7" i="15"/>
  <c r="AD7" i="15"/>
  <c r="AC7" i="15"/>
  <c r="AB7" i="15"/>
  <c r="AA7" i="15"/>
  <c r="Z7" i="15"/>
  <c r="Y7" i="15"/>
  <c r="X7" i="15"/>
  <c r="W7" i="15"/>
  <c r="V7" i="15"/>
  <c r="U7" i="15"/>
  <c r="T7" i="15"/>
  <c r="S7" i="15"/>
  <c r="R7" i="15"/>
  <c r="Q7" i="15"/>
  <c r="P7" i="15"/>
  <c r="O7" i="15"/>
  <c r="N7" i="15"/>
  <c r="M7" i="15"/>
  <c r="L7" i="15"/>
  <c r="K7" i="15"/>
  <c r="J7" i="15"/>
  <c r="I7" i="15"/>
  <c r="H7" i="15"/>
  <c r="G7" i="15"/>
  <c r="F7" i="15"/>
  <c r="E7" i="15"/>
  <c r="D7" i="15"/>
  <c r="C7" i="15"/>
  <c r="AF7" i="25"/>
  <c r="AE7" i="25"/>
  <c r="AD7" i="25"/>
  <c r="AC7" i="25"/>
  <c r="AB7" i="25"/>
  <c r="AA7" i="25"/>
  <c r="Z7" i="25"/>
  <c r="Y7" i="25"/>
  <c r="X7" i="25"/>
  <c r="W7" i="25"/>
  <c r="V7" i="25"/>
  <c r="U7" i="25"/>
  <c r="T7" i="25"/>
  <c r="S7" i="25"/>
  <c r="R7" i="25"/>
  <c r="Q7" i="25"/>
  <c r="P7" i="25"/>
  <c r="O7" i="25"/>
  <c r="N7" i="25"/>
  <c r="M7" i="25"/>
  <c r="L7" i="25"/>
  <c r="K7" i="25"/>
  <c r="J7" i="25"/>
  <c r="I7" i="25"/>
  <c r="H7" i="25"/>
  <c r="G7" i="25"/>
  <c r="F7" i="25"/>
  <c r="E7" i="25"/>
  <c r="D7" i="25"/>
  <c r="C7" i="25"/>
  <c r="AG7" i="24"/>
  <c r="AF7" i="24"/>
  <c r="AE7" i="24"/>
  <c r="AD7" i="24"/>
  <c r="AC7" i="24"/>
  <c r="AB7" i="24"/>
  <c r="AA7" i="24"/>
  <c r="Z7" i="24"/>
  <c r="Y7" i="24"/>
  <c r="X7" i="24"/>
  <c r="W7" i="24"/>
  <c r="V7" i="24"/>
  <c r="U7" i="24"/>
  <c r="T7" i="24"/>
  <c r="S7" i="24"/>
  <c r="R7" i="24"/>
  <c r="Q7" i="24"/>
  <c r="P7" i="24"/>
  <c r="O7" i="24"/>
  <c r="N7" i="24"/>
  <c r="M7" i="24"/>
  <c r="L7" i="24"/>
  <c r="K7" i="24"/>
  <c r="J7" i="24"/>
  <c r="I7" i="24"/>
  <c r="H7" i="24"/>
  <c r="G7" i="24"/>
  <c r="F7" i="24"/>
  <c r="E7" i="24"/>
  <c r="D7" i="24"/>
  <c r="C7" i="24"/>
  <c r="AF7" i="23"/>
  <c r="AE7" i="23"/>
  <c r="AD7" i="23"/>
  <c r="AC7" i="23"/>
  <c r="AB7" i="23"/>
  <c r="AA7" i="23"/>
  <c r="Z7" i="23"/>
  <c r="Y7" i="23"/>
  <c r="X7" i="23"/>
  <c r="W7" i="23"/>
  <c r="V7" i="23"/>
  <c r="U7" i="23"/>
  <c r="T7" i="23"/>
  <c r="S7" i="23"/>
  <c r="R7" i="23"/>
  <c r="Q7" i="23"/>
  <c r="P7" i="23"/>
  <c r="O7" i="23"/>
  <c r="N7" i="23"/>
  <c r="M7" i="23"/>
  <c r="L7" i="23"/>
  <c r="K7" i="23"/>
  <c r="J7" i="23"/>
  <c r="I7" i="23"/>
  <c r="H7" i="23"/>
  <c r="G7" i="23"/>
  <c r="F7" i="23"/>
  <c r="E7" i="23"/>
  <c r="D7" i="23"/>
  <c r="C7" i="23"/>
  <c r="AG7" i="22"/>
  <c r="AF7" i="22"/>
  <c r="AE7" i="22"/>
  <c r="AD7" i="22"/>
  <c r="AC7" i="22"/>
  <c r="AB7" i="22"/>
  <c r="AA7" i="22"/>
  <c r="Z7" i="22"/>
  <c r="Y7" i="22"/>
  <c r="X7" i="22"/>
  <c r="W7" i="22"/>
  <c r="V7" i="22"/>
  <c r="U7" i="22"/>
  <c r="T7" i="22"/>
  <c r="S7" i="22"/>
  <c r="R7" i="22"/>
  <c r="Q7" i="22"/>
  <c r="P7" i="22"/>
  <c r="O7" i="22"/>
  <c r="N7" i="22"/>
  <c r="M7" i="22"/>
  <c r="L7" i="22"/>
  <c r="K7" i="22"/>
  <c r="J7" i="22"/>
  <c r="I7" i="22"/>
  <c r="H7" i="22"/>
  <c r="G7" i="22"/>
  <c r="F7" i="22"/>
  <c r="E7" i="22"/>
  <c r="D7" i="22"/>
  <c r="C7" i="22"/>
  <c r="AG7" i="21"/>
  <c r="AF7" i="21"/>
  <c r="AE7" i="21"/>
  <c r="AD7" i="21"/>
  <c r="AC7" i="21"/>
  <c r="AB7" i="21"/>
  <c r="AA7" i="21"/>
  <c r="Z7" i="21"/>
  <c r="Y7" i="21"/>
  <c r="X7" i="21"/>
  <c r="W7" i="21"/>
  <c r="V7" i="21"/>
  <c r="U7" i="21"/>
  <c r="T7" i="21"/>
  <c r="S7" i="21"/>
  <c r="R7" i="21"/>
  <c r="Q7" i="21"/>
  <c r="P7" i="21"/>
  <c r="O7" i="21"/>
  <c r="N7" i="21"/>
  <c r="M7" i="21"/>
  <c r="L7" i="21"/>
  <c r="K7" i="21"/>
  <c r="J7" i="21"/>
  <c r="I7" i="21"/>
  <c r="H7" i="21"/>
  <c r="G7" i="21"/>
  <c r="F7" i="21"/>
  <c r="E7" i="21"/>
  <c r="D7" i="21"/>
  <c r="C7" i="21"/>
  <c r="AF7" i="20"/>
  <c r="AE7" i="20"/>
  <c r="AD7" i="20"/>
  <c r="AC7" i="20"/>
  <c r="AB7" i="20"/>
  <c r="AA7" i="20"/>
  <c r="Z7" i="20"/>
  <c r="Y7" i="20"/>
  <c r="X7" i="20"/>
  <c r="W7" i="20"/>
  <c r="V7" i="20"/>
  <c r="U7" i="20"/>
  <c r="T7" i="20"/>
  <c r="S7" i="20"/>
  <c r="R7" i="20"/>
  <c r="Q7" i="20"/>
  <c r="P7" i="20"/>
  <c r="O7" i="20"/>
  <c r="N7" i="20"/>
  <c r="M7" i="20"/>
  <c r="L7" i="20"/>
  <c r="K7" i="20"/>
  <c r="J7" i="20"/>
  <c r="I7" i="20"/>
  <c r="H7" i="20"/>
  <c r="G7" i="20"/>
  <c r="F7" i="20"/>
  <c r="E7" i="20"/>
  <c r="D7" i="20"/>
  <c r="C7" i="20"/>
  <c r="AG7" i="19"/>
  <c r="AF7" i="19"/>
  <c r="AE7" i="19"/>
  <c r="AD7" i="19"/>
  <c r="AC7" i="19"/>
  <c r="AB7" i="19"/>
  <c r="AA7" i="19"/>
  <c r="Z7" i="19"/>
  <c r="Y7" i="19"/>
  <c r="X7" i="19"/>
  <c r="W7" i="19"/>
  <c r="V7" i="19"/>
  <c r="U7" i="19"/>
  <c r="T7" i="19"/>
  <c r="S7" i="19"/>
  <c r="R7" i="19"/>
  <c r="Q7" i="19"/>
  <c r="P7" i="19"/>
  <c r="O7" i="19"/>
  <c r="N7" i="19"/>
  <c r="M7" i="19"/>
  <c r="L7" i="19"/>
  <c r="K7" i="19"/>
  <c r="J7" i="19"/>
  <c r="I7" i="19"/>
  <c r="H7" i="19"/>
  <c r="G7" i="19"/>
  <c r="F7" i="19"/>
  <c r="E7" i="19"/>
  <c r="D7" i="19"/>
  <c r="C7" i="19"/>
  <c r="AF7" i="18"/>
  <c r="AE7" i="18"/>
  <c r="AD7" i="18"/>
  <c r="AC7" i="18"/>
  <c r="AB7" i="18"/>
  <c r="AA7" i="18"/>
  <c r="Z7" i="18"/>
  <c r="Y7" i="18"/>
  <c r="X7" i="18"/>
  <c r="W7" i="18"/>
  <c r="V7" i="18"/>
  <c r="U7" i="18"/>
  <c r="T7" i="18"/>
  <c r="S7" i="18"/>
  <c r="R7" i="18"/>
  <c r="Q7" i="18"/>
  <c r="P7" i="18"/>
  <c r="O7" i="18"/>
  <c r="N7" i="18"/>
  <c r="M7" i="18"/>
  <c r="L7" i="18"/>
  <c r="K7" i="18"/>
  <c r="J7" i="18"/>
  <c r="I7" i="18"/>
  <c r="H7" i="18"/>
  <c r="G7" i="18"/>
  <c r="F7" i="18"/>
  <c r="E7" i="18"/>
  <c r="D7" i="18"/>
  <c r="C7" i="18"/>
  <c r="AG7" i="17"/>
  <c r="AF7" i="17"/>
  <c r="AE7" i="17"/>
  <c r="AD7" i="17"/>
  <c r="AC7" i="17"/>
  <c r="AB7" i="17"/>
  <c r="AA7" i="17"/>
  <c r="Z7" i="17"/>
  <c r="Y7" i="17"/>
  <c r="X7" i="17"/>
  <c r="W7" i="17"/>
  <c r="V7" i="17"/>
  <c r="U7" i="17"/>
  <c r="T7" i="17"/>
  <c r="S7" i="17"/>
  <c r="R7" i="17"/>
  <c r="Q7" i="17"/>
  <c r="P7" i="17"/>
  <c r="O7" i="17"/>
  <c r="N7" i="17"/>
  <c r="M7" i="17"/>
  <c r="L7" i="17"/>
  <c r="K7" i="17"/>
  <c r="J7" i="17"/>
  <c r="I7" i="17"/>
  <c r="H7" i="17"/>
  <c r="G7" i="17"/>
  <c r="F7" i="17"/>
  <c r="E7" i="17"/>
  <c r="D7" i="17"/>
  <c r="C7" i="17"/>
  <c r="AE7" i="5"/>
  <c r="AD7" i="5"/>
  <c r="AC7" i="5"/>
  <c r="AB7" i="5"/>
  <c r="AA7" i="5"/>
  <c r="Z7" i="5"/>
  <c r="Y7" i="5"/>
  <c r="X7" i="5"/>
  <c r="W7" i="5"/>
  <c r="V7" i="5"/>
  <c r="U7" i="5"/>
  <c r="T7" i="5"/>
  <c r="S7" i="5"/>
  <c r="R7" i="5"/>
  <c r="Q7" i="5"/>
  <c r="P7" i="5"/>
  <c r="O7" i="5"/>
  <c r="N7" i="5"/>
  <c r="M7" i="5"/>
  <c r="L7" i="5"/>
  <c r="K7" i="5"/>
  <c r="J7" i="5"/>
  <c r="I7" i="5"/>
  <c r="H7" i="5"/>
  <c r="G7" i="5"/>
  <c r="F7" i="5"/>
  <c r="E7" i="5"/>
  <c r="D7" i="5"/>
  <c r="C7" i="5"/>
  <c r="AG7" i="4"/>
  <c r="AF7" i="4"/>
  <c r="AE7" i="4"/>
  <c r="AD7" i="4"/>
  <c r="AC7" i="4"/>
  <c r="AB7" i="4"/>
  <c r="AA7" i="4"/>
  <c r="Z7" i="4"/>
  <c r="Y7" i="4"/>
  <c r="X7" i="4"/>
  <c r="W7" i="4"/>
  <c r="V7" i="4"/>
  <c r="U7" i="4"/>
  <c r="T7" i="4"/>
  <c r="S7" i="4"/>
  <c r="R7" i="4"/>
  <c r="Q7" i="4"/>
  <c r="P7" i="4"/>
  <c r="O7" i="4"/>
  <c r="N7" i="4"/>
  <c r="M7" i="4"/>
  <c r="L7" i="4"/>
  <c r="K7" i="4"/>
  <c r="J7" i="4"/>
  <c r="I7" i="4"/>
  <c r="H7" i="4"/>
  <c r="G7" i="4"/>
  <c r="F7" i="4"/>
  <c r="E7" i="4"/>
  <c r="D7" i="4"/>
  <c r="C7" i="4"/>
  <c r="AH6" i="15" l="1"/>
  <c r="AH6" i="25"/>
  <c r="AH6" i="24"/>
  <c r="AH6" i="23"/>
  <c r="AH6" i="22"/>
  <c r="AH6" i="21"/>
  <c r="B14" i="19"/>
  <c r="AH6" i="20"/>
  <c r="B14" i="18"/>
  <c r="B14" i="4"/>
  <c r="AG14" i="19"/>
  <c r="AF14" i="19"/>
  <c r="AE14" i="19"/>
  <c r="AD14" i="19"/>
  <c r="AC14" i="19"/>
  <c r="AB14" i="19"/>
  <c r="AA14" i="19"/>
  <c r="Z14" i="19"/>
  <c r="Y14" i="19"/>
  <c r="X14" i="19"/>
  <c r="W14" i="19"/>
  <c r="V14" i="19"/>
  <c r="U14" i="19"/>
  <c r="T14" i="19"/>
  <c r="S14" i="19"/>
  <c r="R14" i="19"/>
  <c r="Q14" i="19"/>
  <c r="P14" i="19"/>
  <c r="O14" i="19"/>
  <c r="N14" i="19"/>
  <c r="M14" i="19"/>
  <c r="L14" i="19"/>
  <c r="K14" i="19"/>
  <c r="J14" i="19"/>
  <c r="I14" i="19"/>
  <c r="H14" i="19"/>
  <c r="G14" i="19"/>
  <c r="F14" i="19"/>
  <c r="E14" i="19"/>
  <c r="D14" i="19"/>
  <c r="C14" i="19"/>
  <c r="AH13" i="19"/>
  <c r="AH12" i="19"/>
  <c r="AH11" i="19"/>
  <c r="AH10" i="19"/>
  <c r="AH9" i="19"/>
  <c r="AH6" i="19"/>
  <c r="AG14" i="18"/>
  <c r="AF14" i="18"/>
  <c r="AE14" i="18"/>
  <c r="AD14" i="18"/>
  <c r="AC14" i="18"/>
  <c r="AB14" i="18"/>
  <c r="AA14" i="18"/>
  <c r="Z14" i="18"/>
  <c r="Y14" i="18"/>
  <c r="X14" i="18"/>
  <c r="W14" i="18"/>
  <c r="V14" i="18"/>
  <c r="U14" i="18"/>
  <c r="T14" i="18"/>
  <c r="S14" i="18"/>
  <c r="R14" i="18"/>
  <c r="Q14" i="18"/>
  <c r="P14" i="18"/>
  <c r="O14" i="18"/>
  <c r="N14" i="18"/>
  <c r="M14" i="18"/>
  <c r="L14" i="18"/>
  <c r="K14" i="18"/>
  <c r="J14" i="18"/>
  <c r="I14" i="18"/>
  <c r="H14" i="18"/>
  <c r="G14" i="18"/>
  <c r="F14" i="18"/>
  <c r="E14" i="18"/>
  <c r="D14" i="18"/>
  <c r="C14" i="18"/>
  <c r="AH13" i="18"/>
  <c r="AH12" i="18"/>
  <c r="AH11" i="18"/>
  <c r="AH10" i="18"/>
  <c r="AH9" i="18"/>
  <c r="AH6" i="18"/>
  <c r="AH6" i="17"/>
  <c r="B14" i="5"/>
  <c r="AH11" i="4"/>
  <c r="AH12" i="4"/>
  <c r="AH14" i="18" l="1"/>
  <c r="AH14" i="19"/>
  <c r="B14" i="23"/>
  <c r="AG14" i="25"/>
  <c r="AF14" i="25"/>
  <c r="AE14" i="25"/>
  <c r="AD14" i="25"/>
  <c r="AC14" i="25"/>
  <c r="AB14" i="25"/>
  <c r="AA14" i="25"/>
  <c r="Z14" i="25"/>
  <c r="Y14" i="25"/>
  <c r="X14" i="25"/>
  <c r="W14" i="25"/>
  <c r="V14" i="25"/>
  <c r="U14" i="25"/>
  <c r="T14" i="25"/>
  <c r="S14" i="25"/>
  <c r="R14" i="25"/>
  <c r="Q14" i="25"/>
  <c r="P14" i="25"/>
  <c r="O14" i="25"/>
  <c r="N14" i="25"/>
  <c r="M14" i="25"/>
  <c r="L14" i="25"/>
  <c r="K14" i="25"/>
  <c r="J14" i="25"/>
  <c r="I14" i="25"/>
  <c r="H14" i="25"/>
  <c r="G14" i="25"/>
  <c r="F14" i="25"/>
  <c r="E14" i="25"/>
  <c r="D14" i="25"/>
  <c r="C14" i="25"/>
  <c r="B14" i="25"/>
  <c r="AH13" i="25"/>
  <c r="AH12" i="25"/>
  <c r="AH11" i="25"/>
  <c r="AH10" i="25"/>
  <c r="AH9" i="25"/>
  <c r="AG14" i="24"/>
  <c r="AF14" i="24"/>
  <c r="AE14" i="24"/>
  <c r="AD14" i="24"/>
  <c r="AC14" i="24"/>
  <c r="AB14" i="24"/>
  <c r="AA14" i="24"/>
  <c r="Z14" i="24"/>
  <c r="Y14" i="24"/>
  <c r="X14" i="24"/>
  <c r="W14" i="24"/>
  <c r="V14" i="24"/>
  <c r="U14" i="24"/>
  <c r="T14" i="24"/>
  <c r="S14" i="24"/>
  <c r="R14" i="24"/>
  <c r="Q14" i="24"/>
  <c r="P14" i="24"/>
  <c r="O14" i="24"/>
  <c r="N14" i="24"/>
  <c r="M14" i="24"/>
  <c r="L14" i="24"/>
  <c r="K14" i="24"/>
  <c r="J14" i="24"/>
  <c r="I14" i="24"/>
  <c r="H14" i="24"/>
  <c r="G14" i="24"/>
  <c r="F14" i="24"/>
  <c r="E14" i="24"/>
  <c r="D14" i="24"/>
  <c r="C14" i="24"/>
  <c r="B14" i="24"/>
  <c r="AH13" i="24"/>
  <c r="AH12" i="24"/>
  <c r="AH11" i="24"/>
  <c r="AH10" i="24"/>
  <c r="AH9" i="24"/>
  <c r="AG14" i="23"/>
  <c r="AF14" i="23"/>
  <c r="AE14" i="23"/>
  <c r="AD14" i="23"/>
  <c r="AC14" i="23"/>
  <c r="AB14" i="23"/>
  <c r="AA14" i="23"/>
  <c r="Z14" i="23"/>
  <c r="Y14" i="23"/>
  <c r="X14" i="23"/>
  <c r="W14" i="23"/>
  <c r="V14" i="23"/>
  <c r="U14" i="23"/>
  <c r="T14" i="23"/>
  <c r="S14" i="23"/>
  <c r="R14" i="23"/>
  <c r="Q14" i="23"/>
  <c r="P14" i="23"/>
  <c r="O14" i="23"/>
  <c r="N14" i="23"/>
  <c r="M14" i="23"/>
  <c r="L14" i="23"/>
  <c r="K14" i="23"/>
  <c r="J14" i="23"/>
  <c r="I14" i="23"/>
  <c r="H14" i="23"/>
  <c r="G14" i="23"/>
  <c r="F14" i="23"/>
  <c r="E14" i="23"/>
  <c r="D14" i="23"/>
  <c r="C14" i="23"/>
  <c r="AH13" i="23"/>
  <c r="AH12" i="23"/>
  <c r="AH11" i="23"/>
  <c r="AH10" i="23"/>
  <c r="AH9" i="23"/>
  <c r="AG14" i="22"/>
  <c r="AF14" i="22"/>
  <c r="AE14" i="22"/>
  <c r="AD14" i="22"/>
  <c r="AC14" i="22"/>
  <c r="AB14" i="22"/>
  <c r="AA14" i="22"/>
  <c r="Z14" i="22"/>
  <c r="Y14" i="22"/>
  <c r="X14" i="22"/>
  <c r="W14" i="22"/>
  <c r="V14" i="22"/>
  <c r="U14" i="22"/>
  <c r="T14" i="22"/>
  <c r="S14" i="22"/>
  <c r="R14" i="22"/>
  <c r="Q14" i="22"/>
  <c r="P14" i="22"/>
  <c r="O14" i="22"/>
  <c r="N14" i="22"/>
  <c r="M14" i="22"/>
  <c r="L14" i="22"/>
  <c r="K14" i="22"/>
  <c r="J14" i="22"/>
  <c r="I14" i="22"/>
  <c r="H14" i="22"/>
  <c r="G14" i="22"/>
  <c r="F14" i="22"/>
  <c r="E14" i="22"/>
  <c r="D14" i="22"/>
  <c r="C14" i="22"/>
  <c r="B14" i="22"/>
  <c r="AH13" i="22"/>
  <c r="AH12" i="22"/>
  <c r="AH11" i="22"/>
  <c r="AH10" i="22"/>
  <c r="AH9" i="22"/>
  <c r="AG14" i="21"/>
  <c r="AF14" i="21"/>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13" i="21"/>
  <c r="AH12" i="21"/>
  <c r="AH11" i="21"/>
  <c r="AH10" i="21"/>
  <c r="AH9" i="21"/>
  <c r="AG14" i="20"/>
  <c r="AF14" i="20"/>
  <c r="AE14" i="20"/>
  <c r="AD14" i="20"/>
  <c r="AC14" i="20"/>
  <c r="AB14" i="20"/>
  <c r="AA14" i="20"/>
  <c r="Z14" i="20"/>
  <c r="Y14" i="20"/>
  <c r="X14" i="20"/>
  <c r="W14" i="20"/>
  <c r="V14" i="20"/>
  <c r="U14" i="20"/>
  <c r="T14" i="20"/>
  <c r="S14" i="20"/>
  <c r="R14" i="20"/>
  <c r="Q14" i="20"/>
  <c r="P14" i="20"/>
  <c r="O14" i="20"/>
  <c r="N14" i="20"/>
  <c r="M14" i="20"/>
  <c r="L14" i="20"/>
  <c r="K14" i="20"/>
  <c r="J14" i="20"/>
  <c r="I14" i="20"/>
  <c r="H14" i="20"/>
  <c r="G14" i="20"/>
  <c r="F14" i="20"/>
  <c r="E14" i="20"/>
  <c r="D14" i="20"/>
  <c r="C14" i="20"/>
  <c r="B14" i="20"/>
  <c r="AH13" i="20"/>
  <c r="AH12" i="20"/>
  <c r="AH11" i="20"/>
  <c r="AH10" i="20"/>
  <c r="AH9" i="20"/>
  <c r="AG14" i="17"/>
  <c r="AF14" i="17"/>
  <c r="AE14" i="17"/>
  <c r="AD14" i="17"/>
  <c r="AC14" i="17"/>
  <c r="AB14" i="17"/>
  <c r="AA14" i="17"/>
  <c r="Z14" i="17"/>
  <c r="Y14" i="17"/>
  <c r="X14" i="17"/>
  <c r="W14" i="17"/>
  <c r="V14" i="17"/>
  <c r="U14" i="17"/>
  <c r="T14" i="17"/>
  <c r="S14" i="17"/>
  <c r="R14" i="17"/>
  <c r="Q14" i="17"/>
  <c r="P14" i="17"/>
  <c r="O14" i="17"/>
  <c r="N14" i="17"/>
  <c r="M14" i="17"/>
  <c r="L14" i="17"/>
  <c r="K14" i="17"/>
  <c r="J14" i="17"/>
  <c r="I14" i="17"/>
  <c r="H14" i="17"/>
  <c r="G14" i="17"/>
  <c r="F14" i="17"/>
  <c r="E14" i="17"/>
  <c r="D14" i="17"/>
  <c r="C14" i="17"/>
  <c r="B14" i="17"/>
  <c r="AH13" i="17"/>
  <c r="AH12" i="17"/>
  <c r="AH11" i="17"/>
  <c r="AH10" i="17"/>
  <c r="AH9" i="17"/>
  <c r="AH14" i="23" l="1"/>
  <c r="AH14" i="17"/>
  <c r="AH14" i="21"/>
  <c r="AH14" i="22"/>
  <c r="AH14" i="25"/>
  <c r="AH14" i="20"/>
  <c r="AH14" i="24"/>
  <c r="AH6" i="5" l="1"/>
  <c r="C14" i="4" l="1"/>
  <c r="D14" i="4"/>
  <c r="E14" i="4"/>
  <c r="F14" i="4"/>
  <c r="G14" i="4"/>
  <c r="H14" i="4"/>
  <c r="I14" i="4"/>
  <c r="J14" i="4"/>
  <c r="K14" i="4"/>
  <c r="L14" i="4"/>
  <c r="M14" i="4"/>
  <c r="N14" i="4"/>
  <c r="O14" i="4"/>
  <c r="P14" i="4"/>
  <c r="Q14" i="4"/>
  <c r="R14" i="4"/>
  <c r="S14" i="4"/>
  <c r="T14" i="4"/>
  <c r="U14" i="4"/>
  <c r="V14" i="4"/>
  <c r="W14" i="4"/>
  <c r="X14" i="4"/>
  <c r="Y14" i="4"/>
  <c r="Z14" i="4"/>
  <c r="AA14" i="4"/>
  <c r="AB14" i="4"/>
  <c r="AC14" i="4"/>
  <c r="AD14" i="4"/>
  <c r="AE14" i="4"/>
  <c r="AF14" i="4"/>
  <c r="AG14" i="4"/>
  <c r="AG14" i="15" l="1"/>
  <c r="AF14" i="15"/>
  <c r="AH9" i="15"/>
  <c r="AH10" i="15"/>
  <c r="AH11" i="15"/>
  <c r="AH12" i="15"/>
  <c r="AH13" i="15"/>
  <c r="AH14" i="15" l="1"/>
  <c r="C14" i="15"/>
  <c r="D14" i="15"/>
  <c r="E14" i="15"/>
  <c r="F14" i="15"/>
  <c r="G14" i="15"/>
  <c r="H14" i="15"/>
  <c r="I14" i="15"/>
  <c r="J14" i="15"/>
  <c r="K14" i="15"/>
  <c r="L14" i="15"/>
  <c r="M14" i="15"/>
  <c r="N14" i="15"/>
  <c r="O14" i="15"/>
  <c r="P14" i="15"/>
  <c r="Q14" i="15"/>
  <c r="R14" i="15"/>
  <c r="S14" i="15"/>
  <c r="T14" i="15"/>
  <c r="U14" i="15"/>
  <c r="V14" i="15"/>
  <c r="W14" i="15"/>
  <c r="X14" i="15"/>
  <c r="Y14" i="15"/>
  <c r="Z14" i="15"/>
  <c r="AA14" i="15"/>
  <c r="AB14" i="15"/>
  <c r="AC14" i="15"/>
  <c r="AD14" i="15"/>
  <c r="AE14" i="15"/>
  <c r="B14" i="15" l="1"/>
  <c r="AH13" i="5" l="1"/>
  <c r="AH12" i="5"/>
  <c r="AH11" i="5"/>
  <c r="AH13" i="4"/>
  <c r="AE14" i="5"/>
  <c r="AD14" i="5"/>
  <c r="AC14" i="5"/>
  <c r="AB14" i="5"/>
  <c r="AA14" i="5"/>
  <c r="Z14" i="5"/>
  <c r="Y14" i="5"/>
  <c r="X14" i="5"/>
  <c r="W14" i="5"/>
  <c r="V14" i="5"/>
  <c r="U14" i="5"/>
  <c r="T14" i="5"/>
  <c r="S14" i="5"/>
  <c r="R14" i="5"/>
  <c r="Q14" i="5"/>
  <c r="P14" i="5"/>
  <c r="O14" i="5"/>
  <c r="N14" i="5"/>
  <c r="M14" i="5"/>
  <c r="L14" i="5"/>
  <c r="K14" i="5"/>
  <c r="J14" i="5"/>
  <c r="I14" i="5"/>
  <c r="H14" i="5"/>
  <c r="G14" i="5"/>
  <c r="F14" i="5"/>
  <c r="E14" i="5"/>
  <c r="D14" i="5"/>
  <c r="C14" i="5"/>
  <c r="AH10" i="5"/>
  <c r="AH9" i="5"/>
  <c r="AH14" i="5" l="1"/>
  <c r="AH9" i="4"/>
  <c r="AH10" i="4"/>
  <c r="AH14" i="4" l="1"/>
</calcChain>
</file>

<file path=xl/sharedStrings.xml><?xml version="1.0" encoding="utf-8"?>
<sst xmlns="http://schemas.openxmlformats.org/spreadsheetml/2006/main" count="653" uniqueCount="64">
  <si>
    <t>Calendrier des absences des employés</t>
  </si>
  <si>
    <t>Janvier</t>
  </si>
  <si>
    <t>Clé de motif d’absence</t>
  </si>
  <si>
    <t>Nom de l’employé</t>
  </si>
  <si>
    <t>Harsimran Brar</t>
  </si>
  <si>
    <t>Jordan Mitchell</t>
  </si>
  <si>
    <t>Asaf Karten</t>
  </si>
  <si>
    <t>Vanja Jovanovic</t>
  </si>
  <si>
    <t>Madison Butler</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</si>
  <si>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</si>
  <si>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</si>
  <si>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</si>
  <si>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</si>
  <si>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</si>
  <si>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</si>
  <si>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</si>
  <si>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</si>
  <si>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</si>
  <si>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</si>
  <si>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</si>
  <si>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</si>
  <si>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</si>
  <si>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</si>
  <si>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</si>
  <si>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</si>
  <si>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</si>
  <si>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</si>
  <si>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</si>
  <si>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</si>
  <si>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</si>
  <si>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</si>
  <si>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</si>
  <si>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</si>
  <si>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</si>
  <si>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</si>
  <si>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</si>
  <si>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</si>
  <si>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</si>
  <si>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</si>
  <si>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</si>
  <si>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</si>
  <si>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</si>
  <si>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</si>
  <si>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</si>
  <si>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</si>
  <si>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</si>
  <si>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</si>
  <si>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</si>
  <si>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</si>
  <si>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Total des jours</t>
  </si>
  <si>
    <t>Février</t>
  </si>
  <si>
    <t xml:space="preserve"> </t>
  </si>
  <si>
    <t xml:space="preserve">  </t>
  </si>
  <si>
    <t>Mars</t>
  </si>
  <si>
    <t>Avril</t>
  </si>
  <si>
    <t>Mai</t>
  </si>
  <si>
    <t>Juin</t>
  </si>
  <si>
    <t>Juillet</t>
  </si>
  <si>
    <t>Août</t>
  </si>
  <si>
    <t>Septembre</t>
  </si>
  <si>
    <t>Octobre</t>
  </si>
  <si>
    <t>Novembre</t>
  </si>
  <si>
    <t>Décembre</t>
  </si>
  <si>
    <t>Noms des employés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</si>
</sst>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33">
    <font>
      <sz val="11"/>
      <color theme="0"/>
      <name val="Calibri"/>
      <family val="2"/>
    </font>
    <font>
      <sz val="11"/>
      <color theme="1"/>
      <name val="Century Gothic"/>
      <family val="2"/>
      <scheme val="minor"/>
    </font>
    <font>
      <sz val="11"/>
      <color theme="0"/>
      <name val="Century Gothic"/>
      <family val="2"/>
      <scheme val="minor"/>
    </font>
    <font>
      <sz val="11"/>
      <color rgb="FF000000"/>
      <name val="Century Gothic"/>
      <family val="2"/>
      <scheme val="minor"/>
    </font>
    <font>
      <b/>
      <sz val="18"/>
      <color theme="3"/>
      <name val="Century Gothic"/>
      <family val="2"/>
      <scheme val="minor"/>
    </font>
    <font>
      <b/>
      <sz val="11"/>
      <color theme="0"/>
      <name val="Century Gothic"/>
      <family val="2"/>
      <scheme val="minor"/>
    </font>
    <font>
      <b/>
      <sz val="72"/>
      <color theme="6" tint="0.39997558519241921"/>
      <name val="Century Gothic"/>
      <family val="2"/>
      <scheme val="minor"/>
    </font>
    <font>
      <sz val="8"/>
      <name val="Century Gothic"/>
      <family val="2"/>
      <scheme val="minor"/>
    </font>
    <font>
      <b/>
      <sz val="18"/>
      <color theme="4" tint="9.9948118533890809E-2"/>
      <name val="Century Gothic"/>
      <family val="2"/>
      <scheme val="minor"/>
    </font>
    <font>
      <b/>
      <sz val="72"/>
      <color theme="4" tint="0.249977111117893"/>
      <name val="Century Gothic"/>
      <family val="2"/>
      <scheme val="minor"/>
    </font>
    <font>
      <b/>
      <sz val="11"/>
      <name val="Century Gothic"/>
      <family val="2"/>
      <scheme val="minor"/>
    </font>
    <font>
      <b/>
      <sz val="72"/>
      <color theme="7" tint="-0.249977111117893"/>
      <name val="Century Gothic"/>
      <family val="2"/>
      <scheme val="minor"/>
    </font>
    <font>
      <b/>
      <sz val="72"/>
      <color theme="8" tint="-0.249977111117893"/>
      <name val="Century Gothic"/>
      <family val="2"/>
      <scheme val="minor"/>
    </font>
    <font>
      <sz val="11"/>
      <color theme="1"/>
      <name val="Calibri"/>
      <family val="2"/>
      <charset val="134"/>
    </font>
    <font>
      <sz val="11"/>
      <color theme="1"/>
      <name val="Calibri"/>
      <family val="2"/>
    </font>
    <font>
      <b/>
      <sz val="11"/>
      <color theme="1"/>
      <name val="Calibri"/>
      <family val="2"/>
    </font>
    <font>
      <sz val="11"/>
      <color theme="0"/>
      <name val="Calibri"/>
      <family val="2"/>
    </font>
    <font>
      <sz val="11"/>
      <color theme="0"/>
      <name val="Calibri"/>
      <family val="2"/>
      <charset val="134"/>
    </font>
    <font>
      <sz val="11"/>
      <color rgb="FF9C0006"/>
      <name val="Calibri"/>
      <family val="2"/>
      <charset val="134"/>
    </font>
    <font>
      <b/>
      <sz val="11"/>
      <color rgb="FFFA7D00"/>
      <name val="Calibri"/>
      <family val="2"/>
      <charset val="134"/>
    </font>
    <font>
      <b/>
      <sz val="11"/>
      <color theme="0"/>
      <name val="Calibri"/>
      <family val="2"/>
      <charset val="134"/>
    </font>
    <font>
      <sz val="11"/>
      <color theme="4" tint="-0.499984740745262"/>
      <name val="Calibri"/>
      <family val="2"/>
    </font>
    <font>
      <i/>
      <sz val="11"/>
      <color rgb="FF7F7F7F"/>
      <name val="Calibri"/>
      <family val="2"/>
      <charset val="134"/>
    </font>
    <font>
      <sz val="11"/>
      <color rgb="FF006100"/>
      <name val="Calibri"/>
      <family val="2"/>
      <charset val="134"/>
    </font>
    <font>
      <b/>
      <sz val="26"/>
      <color theme="3" tint="-0.24994659260841701"/>
      <name val="Calibri"/>
      <family val="2"/>
    </font>
    <font>
      <b/>
      <sz val="18"/>
      <color theme="4" tint="-0.24994659260841701"/>
      <name val="Calibri"/>
      <family val="2"/>
    </font>
    <font>
      <sz val="11"/>
      <color rgb="FF3F3F76"/>
      <name val="Calibri"/>
      <family val="2"/>
      <charset val="134"/>
    </font>
    <font>
      <sz val="11"/>
      <color rgb="FFFA7D00"/>
      <name val="Calibri"/>
      <family val="2"/>
      <charset val="134"/>
    </font>
    <font>
      <sz val="11"/>
      <color rgb="FF9C5700"/>
      <name val="Calibri"/>
      <family val="2"/>
      <charset val="134"/>
    </font>
    <font>
      <b/>
      <sz val="11"/>
      <color rgb="FF3F3F3F"/>
      <name val="Calibri"/>
      <family val="2"/>
      <charset val="134"/>
    </font>
    <font>
      <b/>
      <sz val="26"/>
      <color theme="3"/>
      <name val="Calibri"/>
      <family val="2"/>
    </font>
    <font>
      <sz val="11"/>
      <color rgb="FFFF0000"/>
      <name val="Calibri"/>
      <family val="2"/>
      <charset val="134"/>
    </font>
    <font>
      <sz val="9"/>
      <name val="DengXian"/>
      <family val="3"/>
      <charset val="134"/>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10">
    <border>
      <left/>
      <right/>
      <top/>
      <bottom/>
      <diagonal/>
    </border>
    <border>
      <left/>
      <right/>
      <top/>
      <bottom style="thin">
        <color theme="4"/>
      </bottom>
      <diagonal/>
    </border>
    <border>
      <left/>
      <right/>
      <top style="thin">
        <color theme="4"/>
      </top>
      <bottom/>
      <diagonal/>
    </border>
    <border>
      <left/>
      <right/>
      <top style="thin">
        <color auto="1"/>
      </top>
      <bottom/>
      <diagonal/>
    </border>
    <border>
      <left/>
      <right/>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30" fillId="0" borderId="0" applyNumberFormat="0" applyFill="0" applyBorder="0" applyProtection="0">
      <alignment vertical="top"/>
    </xf>
    <xf numFmtId="0" fontId="24" fillId="0" borderId="0" applyNumberFormat="0" applyFill="0" applyBorder="0" applyProtection="0">
      <alignment vertical="top"/>
    </xf>
    <xf numFmtId="0" fontId="25" fillId="2" borderId="0" applyNumberFormat="0" applyBorder="0" applyProtection="0">
      <alignment horizontal="center" vertical="center"/>
    </xf>
    <xf numFmtId="0" fontId="15" fillId="20" borderId="0" applyNumberFormat="0" applyProtection="0">
      <alignment horizontal="right" vertical="center" indent="1"/>
    </xf>
    <xf numFmtId="0" fontId="14" fillId="0" borderId="0" applyNumberFormat="0" applyFill="0" applyBorder="0" applyProtection="0">
      <alignment horizontal="left" vertical="center" indent="2"/>
    </xf>
    <xf numFmtId="0" fontId="16" fillId="3" borderId="0" applyNumberFormat="0" applyBorder="0" applyAlignment="0" applyProtection="0"/>
    <xf numFmtId="0" fontId="14" fillId="4" borderId="0" applyNumberFormat="0" applyBorder="0" applyProtection="0">
      <alignment horizontal="center" vertical="center"/>
    </xf>
    <xf numFmtId="0" fontId="15" fillId="9" borderId="0" applyNumberFormat="0" applyBorder="0" applyAlignment="0" applyProtection="0"/>
    <xf numFmtId="0" fontId="14" fillId="5" borderId="0" applyNumberFormat="0" applyBorder="0" applyAlignment="0" applyProtection="0"/>
    <xf numFmtId="0" fontId="16" fillId="7" borderId="0" applyNumberFormat="0" applyBorder="0" applyAlignment="0" applyProtection="0"/>
    <xf numFmtId="0" fontId="14" fillId="6" borderId="0" applyNumberFormat="0" applyBorder="0" applyAlignment="0" applyProtection="0"/>
    <xf numFmtId="0" fontId="15" fillId="15" borderId="0" applyNumberFormat="0" applyBorder="0" applyAlignment="0" applyProtection="0"/>
    <xf numFmtId="0" fontId="14" fillId="8" borderId="0" applyNumberFormat="0" applyBorder="0" applyAlignment="0" applyProtection="0"/>
    <xf numFmtId="0" fontId="16" fillId="15" borderId="0" applyNumberFormat="0" applyBorder="0" applyAlignment="0" applyProtection="0"/>
    <xf numFmtId="0" fontId="14" fillId="18" borderId="0" applyNumberFormat="0" applyBorder="0" applyAlignment="0" applyProtection="0"/>
    <xf numFmtId="0" fontId="15" fillId="17" borderId="0" applyNumberFormat="0" applyBorder="0" applyAlignment="0" applyProtection="0"/>
    <xf numFmtId="0" fontId="16" fillId="16" borderId="0" applyNumberFormat="0" applyBorder="0" applyAlignment="0" applyProtection="0"/>
    <xf numFmtId="0" fontId="16" fillId="19" borderId="0" applyNumberFormat="0" applyBorder="0" applyAlignment="0" applyProtection="0"/>
    <xf numFmtId="0" fontId="15" fillId="10" borderId="0" applyNumberFormat="0" applyBorder="0" applyAlignment="0" applyProtection="0"/>
    <xf numFmtId="0" fontId="16" fillId="11" borderId="0" applyNumberFormat="0" applyBorder="0" applyAlignment="0" applyProtection="0"/>
    <xf numFmtId="0" fontId="14" fillId="2" borderId="0" applyNumberFormat="0" applyBorder="0" applyAlignment="0" applyProtection="0"/>
    <xf numFmtId="0" fontId="15" fillId="12" borderId="0" applyNumberFormat="0" applyBorder="0" applyProtection="0">
      <alignment horizontal="left" vertical="center" indent="1"/>
    </xf>
    <xf numFmtId="0" fontId="15" fillId="13" borderId="0" applyNumberFormat="0" applyBorder="0" applyAlignment="0" applyProtection="0"/>
    <xf numFmtId="0" fontId="15" fillId="14" borderId="0" applyNumberFormat="0" applyBorder="0" applyAlignment="0" applyProtection="0"/>
    <xf numFmtId="1" fontId="14" fillId="0" borderId="0" applyFill="0" applyBorder="0" applyProtection="0">
      <alignment horizontal="center" vertical="center"/>
    </xf>
    <xf numFmtId="0" fontId="14" fillId="0" borderId="0" applyNumberFormat="0" applyFill="0" applyBorder="0">
      <alignment horizontal="left" vertical="center" wrapText="1" indent="2"/>
    </xf>
    <xf numFmtId="0" fontId="21" fillId="0" borderId="0">
      <alignment horizontal="center"/>
    </xf>
    <xf numFmtId="165" fontId="16" fillId="0" borderId="0" applyFont="0" applyFill="0" applyBorder="0" applyAlignment="0" applyProtection="0">
      <alignment vertical="center"/>
    </xf>
    <xf numFmtId="164" fontId="16" fillId="0" borderId="0" applyFont="0" applyFill="0" applyBorder="0" applyAlignment="0" applyProtection="0">
      <alignment vertical="center"/>
    </xf>
    <xf numFmtId="44" fontId="16" fillId="0" borderId="0" applyFont="0" applyFill="0" applyBorder="0" applyAlignment="0" applyProtection="0">
      <alignment vertical="center"/>
    </xf>
    <xf numFmtId="42" fontId="16" fillId="0" borderId="0" applyFont="0" applyFill="0" applyBorder="0" applyAlignment="0" applyProtection="0">
      <alignment vertical="center"/>
    </xf>
    <xf numFmtId="9" fontId="16" fillId="0" borderId="0" applyFont="0" applyFill="0" applyBorder="0" applyAlignment="0" applyProtection="0">
      <alignment vertical="center"/>
    </xf>
    <xf numFmtId="0" fontId="23" fillId="22" borderId="0" applyNumberFormat="0" applyBorder="0" applyAlignment="0" applyProtection="0">
      <alignment vertical="center"/>
    </xf>
    <xf numFmtId="0" fontId="18" fillId="23" borderId="0" applyNumberFormat="0" applyBorder="0" applyAlignment="0" applyProtection="0">
      <alignment vertical="center"/>
    </xf>
    <xf numFmtId="0" fontId="28" fillId="24" borderId="0" applyNumberFormat="0" applyBorder="0" applyAlignment="0" applyProtection="0">
      <alignment vertical="center"/>
    </xf>
    <xf numFmtId="0" fontId="26" fillId="25" borderId="5" applyNumberFormat="0" applyAlignment="0" applyProtection="0">
      <alignment vertical="center"/>
    </xf>
    <xf numFmtId="0" fontId="29" fillId="26" borderId="6" applyNumberFormat="0" applyAlignment="0" applyProtection="0">
      <alignment vertical="center"/>
    </xf>
    <xf numFmtId="0" fontId="19" fillId="26" borderId="5" applyNumberFormat="0" applyAlignment="0" applyProtection="0">
      <alignment vertical="center"/>
    </xf>
    <xf numFmtId="0" fontId="27" fillId="0" borderId="7" applyNumberFormat="0" applyFill="0" applyAlignment="0" applyProtection="0">
      <alignment vertical="center"/>
    </xf>
    <xf numFmtId="0" fontId="20" fillId="27" borderId="8" applyNumberFormat="0" applyAlignment="0" applyProtection="0">
      <alignment vertical="center"/>
    </xf>
    <xf numFmtId="0" fontId="31" fillId="0" borderId="0" applyNumberFormat="0" applyFill="0" applyBorder="0" applyAlignment="0" applyProtection="0">
      <alignment vertical="center"/>
    </xf>
    <xf numFmtId="0" fontId="16" fillId="28" borderId="9" applyNumberFormat="0" applyFont="0" applyAlignment="0" applyProtection="0">
      <alignment vertical="center"/>
    </xf>
    <xf numFmtId="0" fontId="22" fillId="0" borderId="0" applyNumberFormat="0" applyFill="0" applyBorder="0" applyAlignment="0" applyProtection="0">
      <alignment vertical="center"/>
    </xf>
    <xf numFmtId="0" fontId="13" fillId="29" borderId="0" applyNumberFormat="0" applyBorder="0" applyAlignment="0" applyProtection="0">
      <alignment vertical="center"/>
    </xf>
    <xf numFmtId="0" fontId="13" fillId="30" borderId="0" applyNumberFormat="0" applyBorder="0" applyAlignment="0" applyProtection="0">
      <alignment vertical="center"/>
    </xf>
    <xf numFmtId="0" fontId="17" fillId="31" borderId="0" applyNumberFormat="0" applyBorder="0" applyAlignment="0" applyProtection="0">
      <alignment vertical="center"/>
    </xf>
    <xf numFmtId="0" fontId="13" fillId="32" borderId="0" applyNumberFormat="0" applyBorder="0" applyAlignment="0" applyProtection="0">
      <alignment vertical="center"/>
    </xf>
    <xf numFmtId="0" fontId="13" fillId="33" borderId="0" applyNumberFormat="0" applyBorder="0" applyAlignment="0" applyProtection="0">
      <alignment vertical="center"/>
    </xf>
  </cellStyleXfs>
  <cellXfs count="39">
    <xf numFmtId="0" fontId="0" fillId="0" borderId="0" xfId="0">
      <alignment horizontal="left" vertical="center"/>
    </xf>
    <xf numFmtId="0" fontId="0" fillId="0" borderId="0" xfId="0" applyAlignment="1">
      <alignment horizontal="center" vertical="center"/>
    </xf>
    <xf numFmtId="0" fontId="14" fillId="0" borderId="0" xfId="26" applyFill="1" applyBorder="1">
      <alignment horizontal="left" vertical="center" wrapText="1" indent="2"/>
    </xf>
    <xf numFmtId="1" fontId="14" fillId="0" borderId="0" xfId="25" applyFill="1" applyBorder="1" applyProtection="1">
      <alignment horizontal="center" vertical="center"/>
    </xf>
    <xf numFmtId="166" fontId="0" fillId="0" borderId="0" xfId="0" applyNumberFormat="1" applyAlignment="1">
      <alignment horizontal="center" vertical="center"/>
    </xf>
    <xf numFmtId="0" fontId="0" fillId="0" borderId="0" xfId="0" applyAlignment="1">
      <alignment horizontal="left" vertical="center" indent="1"/>
    </xf>
    <xf numFmtId="0" fontId="3" fillId="0" borderId="0" xfId="0" applyFont="1" applyAlignment="1"/>
    <xf numFmtId="0" fontId="25" fillId="0" borderId="0" xfId="3" applyFill="1" applyProtection="1">
      <alignment horizontal="center" vertical="center"/>
    </xf>
    <xf numFmtId="0" fontId="15" fillId="0" borderId="0" xfId="4" applyFill="1" applyAlignment="1" applyProtection="1">
      <alignment horizontal="left" vertical="center" indent="1"/>
    </xf>
    <xf numFmtId="0" fontId="0" fillId="0" borderId="1" xfId="0" applyBorder="1">
      <alignment horizontal="left" vertical="center"/>
    </xf>
    <xf numFmtId="0" fontId="30" fillId="0" borderId="2" xfId="1" applyBorder="1" applyAlignment="1" applyProtection="1">
      <alignment vertical="center"/>
    </xf>
    <xf numFmtId="0" fontId="0" fillId="0" borderId="2" xfId="0" applyBorder="1">
      <alignment horizontal="left" vertical="center"/>
    </xf>
    <xf numFmtId="0" fontId="0" fillId="0" borderId="0" xfId="0" applyAlignment="1">
      <alignment horizontal="left" vertical="top"/>
    </xf>
    <xf numFmtId="0" fontId="4" fillId="0" borderId="0" xfId="1" applyFont="1" applyAlignment="1" applyProtection="1">
      <alignment horizontal="left" indent="1"/>
    </xf>
    <xf numFmtId="0" fontId="0" fillId="0" borderId="0" xfId="0" applyAlignment="1">
      <alignment horizontal="left" wrapText="1" indent="1"/>
    </xf>
    <xf numFmtId="0" fontId="0" fillId="0" borderId="0" xfId="0" applyAlignment="1">
      <alignment horizontal="left" indent="1"/>
    </xf>
    <xf numFmtId="0" fontId="0" fillId="0" borderId="3" xfId="0" applyBorder="1" applyAlignment="1">
      <alignment horizontal="left" indent="1"/>
    </xf>
    <xf numFmtId="0" fontId="0" fillId="0" borderId="4" xfId="0" applyBorder="1">
      <alignment horizontal="left" vertical="center"/>
    </xf>
    <xf numFmtId="0" fontId="21" fillId="0" borderId="4" xfId="27" applyBorder="1">
      <alignment horizontal="center"/>
    </xf>
    <xf numFmtId="166" fontId="5" fillId="9" borderId="0" xfId="8" applyNumberFormat="1" applyFont="1" applyAlignment="1" applyProtection="1">
      <alignment horizontal="center" vertical="center"/>
    </xf>
    <xf numFmtId="166" fontId="5" fillId="3" borderId="0" xfId="24" applyNumberFormat="1" applyFont="1" applyFill="1" applyAlignment="1" applyProtection="1">
      <alignment horizontal="center" vertical="center"/>
    </xf>
    <xf numFmtId="0" fontId="2" fillId="0" borderId="0" xfId="0" applyFont="1" applyAlignment="1">
      <alignment horizontal="center" vertical="center"/>
    </xf>
    <xf numFmtId="0" fontId="14" fillId="0" borderId="0" xfId="21" applyFill="1" applyBorder="1" applyAlignment="1" applyProtection="1">
      <alignment horizontal="left" vertical="center" indent="1"/>
    </xf>
    <xf numFmtId="0" fontId="1" fillId="0" borderId="0" xfId="0" applyFont="1" applyAlignment="1">
      <alignment horizontal="center" vertical="center"/>
    </xf>
    <xf numFmtId="0" fontId="14" fillId="21" borderId="0" xfId="21" applyFill="1" applyBorder="1" applyAlignment="1" applyProtection="1">
      <alignment horizontal="center" vertical="center"/>
    </xf>
    <xf numFmtId="0" fontId="6" fillId="0" borderId="0" xfId="3" applyFont="1" applyFill="1" applyAlignment="1" applyProtection="1">
      <alignment horizontal="left" vertical="top"/>
    </xf>
    <xf numFmtId="0" fontId="8" fillId="0" borderId="0" xfId="1" applyFont="1" applyAlignment="1" applyProtection="1">
      <alignment horizontal="left" indent="1"/>
    </xf>
    <xf numFmtId="0" fontId="9" fillId="0" borderId="0" xfId="3" applyFont="1" applyFill="1" applyAlignment="1" applyProtection="1">
      <alignment vertical="top"/>
    </xf>
    <xf numFmtId="0" fontId="9" fillId="0" borderId="0" xfId="3" applyFont="1" applyFill="1" applyAlignment="1" applyProtection="1">
      <alignment horizontal="left" vertical="top"/>
    </xf>
    <xf numFmtId="0" fontId="10" fillId="10" borderId="0" xfId="19" applyFont="1" applyAlignment="1" applyProtection="1">
      <alignment horizontal="center" vertical="center"/>
    </xf>
    <xf numFmtId="0" fontId="10" fillId="13" borderId="0" xfId="23" applyFont="1" applyAlignment="1" applyProtection="1">
      <alignment horizontal="center" vertical="center"/>
    </xf>
    <xf numFmtId="0" fontId="10" fillId="15" borderId="0" xfId="12" applyFont="1" applyAlignment="1" applyProtection="1">
      <alignment horizontal="center" vertical="center"/>
    </xf>
    <xf numFmtId="0" fontId="11" fillId="0" borderId="0" xfId="3" applyFont="1" applyFill="1" applyAlignment="1" applyProtection="1">
      <alignment horizontal="left" vertical="top"/>
    </xf>
    <xf numFmtId="0" fontId="12" fillId="0" borderId="0" xfId="3" applyFont="1" applyFill="1" applyAlignment="1" applyProtection="1">
      <alignment horizontal="left" vertical="top"/>
    </xf>
    <xf numFmtId="0" fontId="12" fillId="0" borderId="0" xfId="3" applyFont="1" applyFill="1" applyAlignment="1" applyProtection="1">
      <alignment vertical="top"/>
    </xf>
    <xf numFmtId="0" fontId="14" fillId="0" borderId="0" xfId="21" applyFill="1" applyAlignment="1" applyProtection="1">
      <alignment vertical="center"/>
    </xf>
    <xf numFmtId="0" fontId="25" fillId="0" borderId="0" xfId="3" applyFill="1" applyAlignment="1" applyProtection="1">
      <alignment horizontal="left" vertical="center"/>
    </xf>
    <xf numFmtId="0" fontId="14" fillId="0" borderId="0" xfId="21" applyFill="1" applyAlignment="1" applyProtection="1">
      <alignment horizontal="left" vertical="center" indent="1"/>
    </xf>
    <xf numFmtId="0" fontId="10" fillId="15" borderId="0" xfId="12" applyFont="1" applyAlignment="1" applyProtection="1">
      <alignment horizontal="center" vertical="center"/>
      <protection locked="0"/>
      <extLst>
        <ext xmlns:xfpb="http://schemas.microsoft.com/office/spreadsheetml/2022/featurepropertybag" uri="{C7286773-470A-42A8-94C5-96B5CB345126}">
          <xfpb:xfComplement i="0"/>
        </ext>
      </extLst>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11">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color theme="3"/>
      </font>
      <border>
        <vertical/>
        <horizontal/>
      </border>
    </dxf>
    <dxf>
      <font>
        <color theme="0"/>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entury Gothic"/>
        <family val="2"/>
        <scheme val="minor"/>
      </font>
      <protection locked="1" hidden="0"/>
    </dxf>
    <dxf>
      <alignment horizontal="left" vertical="center" textRotation="0" wrapText="0" indent="1" justifyLastLine="0" shrinkToFit="0" readingOrder="0"/>
    </dxf>
    <dxf>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dxf>
    <dxf>
      <protection locked="1" hidden="0"/>
    </dxf>
    <dxf>
      <protection locked="1" hidden="0"/>
    </dxf>
    <dxf>
      <alignment horizontal="center" vertical="center" textRotation="0" wrapText="0" indent="0" justifyLastLine="0" shrinkToFit="0" readingOrder="0"/>
    </dxf>
    <dxf>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top style="thick">
          <color theme="5" tint="0.59996337778862885"/>
        </top>
        <bottom style="thick">
          <color theme="5" tint="0.59996337778862885"/>
        </bottom>
        <vertical style="thin">
          <color theme="0"/>
        </vertical>
        <horizontal style="thick">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b/>
        <i val="0"/>
        <color theme="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theme="1"/>
      </font>
      <fill>
        <patternFill patternType="none">
          <bgColor auto="1"/>
        </patternFill>
      </fill>
      <border>
        <left/>
        <right/>
        <top style="thin">
          <color theme="5" tint="0.59996337778862885"/>
        </top>
        <bottom style="thin">
          <color theme="5" tint="0.59996337778862885"/>
        </bottom>
        <vertical/>
        <horizontal style="thin">
          <color theme="5" tint="0.59996337778862885"/>
        </horizontal>
      </border>
    </dxf>
    <dxf>
      <font>
        <color theme="1"/>
      </font>
      <fill>
        <patternFill>
          <bgColor theme="5" tint="0.39994506668294322"/>
        </patternFill>
      </fill>
      <border diagonalUp="0" diagonalDown="0">
        <left style="thin">
          <color theme="0"/>
        </left>
        <right style="thin">
          <color theme="0"/>
        </right>
        <top style="thick">
          <color theme="0"/>
        </top>
        <bottom style="thick">
          <color theme="5"/>
        </bottom>
        <vertical style="thick">
          <color theme="0"/>
        </vertical>
        <horizontal/>
      </border>
    </dxf>
    <dxf>
      <font>
        <color theme="0"/>
      </font>
      <fill>
        <patternFill>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theme="0"/>
      </font>
      <border diagonalUp="0" diagonalDown="0">
        <left/>
        <right/>
        <top/>
        <bottom style="thick">
          <color theme="0"/>
        </bottom>
        <vertical style="thick">
          <color theme="0"/>
        </vertical>
        <horizontal style="thick">
          <color theme="0"/>
        </horizontal>
      </border>
    </dxf>
    <dxf>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color auto="1"/>
      </font>
      <fill>
        <patternFill>
          <fgColor theme="5" tint="0.39994506668294322"/>
          <bgColor theme="5" tint="0.39991454817346722"/>
        </patternFill>
      </fill>
      <border diagonalUp="0" diagonalDown="0">
        <left style="thin">
          <color theme="0"/>
        </left>
        <right style="thin">
          <color theme="0"/>
        </right>
        <top style="thin">
          <color theme="5" tint="0.59996337778862885"/>
        </top>
        <bottom style="thick">
          <color theme="5"/>
        </bottom>
        <vertical style="thick">
          <color theme="0"/>
        </vertical>
        <horizontal style="thin">
          <color theme="5" tint="0.59996337778862885"/>
        </horizontal>
      </border>
    </dxf>
    <dxf>
      <font>
        <color theme="0"/>
      </font>
      <fill>
        <patternFill>
          <fgColor theme="5" tint="-0.24994659260841701"/>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auto="1"/>
      </font>
      <border diagonalUp="0" diagonalDown="0">
        <left style="thin">
          <color theme="0"/>
        </left>
        <right/>
        <top style="thin">
          <color theme="0"/>
        </top>
        <bottom style="thin">
          <color theme="0"/>
        </bottom>
        <vertical style="thick">
          <color theme="0"/>
        </vertical>
        <horizontal style="thick">
          <color theme="0"/>
        </horizontal>
      </border>
    </dxf>
  </dxfs>
  <tableStyles count="2" defaultPivotStyle="PivotStyleLight16">
    <tableStyle name="Tableau des absences des employés" pivot="0" count="9" xr9:uid="{00000000-0011-0000-FFFF-FFFF00000000}">
      <tableStyleElement type="wholeTable" dxfId="910"/>
      <tableStyleElement type="headerRow" dxfId="909"/>
      <tableStyleElement type="totalRow" dxfId="908"/>
      <tableStyleElement type="firstRowStripe" dxfId="907"/>
      <tableStyleElement type="secondRowStripe" dxfId="906"/>
      <tableStyleElement type="firstHeaderCell" dxfId="905"/>
      <tableStyleElement type="lastHeaderCell" dxfId="904"/>
      <tableStyleElement type="firstTotalCell" dxfId="903"/>
      <tableStyleElement type="lastTotalCell" dxfId="902"/>
    </tableStyle>
    <tableStyle name="Tableau des absences des employés 2" pivot="0" count="13" xr9:uid="{3374F2B5-EC6B-E245-A90B-F84953DFCF99}">
      <tableStyleElement type="wholeTable" dxfId="901"/>
      <tableStyleElement type="headerRow" dxfId="900"/>
      <tableStyleElement type="totalRow" dxfId="899"/>
      <tableStyleElement type="firstColumn" dxfId="898"/>
      <tableStyleElement type="lastColumn" dxfId="897"/>
      <tableStyleElement type="firstRowStripe" dxfId="896"/>
      <tableStyleElement type="secondRowStripe" dxfId="895"/>
      <tableStyleElement type="firstColumnStripe" dxfId="894"/>
      <tableStyleElement type="secondColumnStripe" dxfId="893"/>
      <tableStyleElement type="firstHeaderCell" dxfId="892"/>
      <tableStyleElement type="lastHeaderCell" dxfId="891"/>
      <tableStyleElement type="firstTotalCell" dxfId="890"/>
      <tableStyleElement type="lastTotalCell" dxfId="88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22/11/relationships/FeaturePropertyBag" Target="featurePropertyBag/featurePropertyBag.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17/10/relationships/person" Target="persons/perso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23" Type="http://schemas.openxmlformats.org/officeDocument/2006/relationships/customXml" Target="../customXml/item4.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 Id="rId22" Type="http://schemas.openxmlformats.org/officeDocument/2006/relationships/customXml" Target="../customXml/item3.xml"/></Relationships>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8:AH14" totalsRowCount="1" headerRowDxfId="888" dataDxfId="887" totalsRowDxfId="886">
  <autoFilter ref="B8:AH13"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85" totalsRowDxfId="884" dataCellStyle="Employé">
      <totalsRowFormula>NomMois&amp;" total"</totalsRowFormula>
    </tableColumn>
    <tableColumn id="2" xr3:uid="{00000000-0010-0000-0000-000002000000}" name="1" totalsRowFunction="custom" dataDxfId="883" totalsRowDxfId="882" dataCellStyle="Total">
      <totalsRowFormula>SUBTOTAL(103,Janvier!$C$9:$C$13)</totalsRowFormula>
    </tableColumn>
    <tableColumn id="3" xr3:uid="{00000000-0010-0000-0000-000003000000}" name="2" totalsRowFunction="custom" dataDxfId="881" totalsRowDxfId="880" dataCellStyle="Total">
      <totalsRowFormula>SUBTOTAL(103,Janvier!$D$9:$D$13)</totalsRowFormula>
    </tableColumn>
    <tableColumn id="4" xr3:uid="{00000000-0010-0000-0000-000004000000}" name="3" totalsRowFunction="custom" dataDxfId="879" totalsRowDxfId="878" dataCellStyle="Total">
      <totalsRowFormula>SUBTOTAL(103,Janvier!$E$9:$E$13)</totalsRowFormula>
    </tableColumn>
    <tableColumn id="5" xr3:uid="{00000000-0010-0000-0000-000005000000}" name="4" totalsRowFunction="custom" dataDxfId="877" totalsRowDxfId="876" dataCellStyle="Total">
      <totalsRowFormula>SUBTOTAL(103,Janvier!$F$9:$F$13)</totalsRowFormula>
    </tableColumn>
    <tableColumn id="6" xr3:uid="{00000000-0010-0000-0000-000006000000}" name="5" totalsRowFunction="custom" totalsRowDxfId="875" dataCellStyle="Total">
      <totalsRowFormula>SUBTOTAL(103,Janvier!$G$9:$G$13)</totalsRowFormula>
    </tableColumn>
    <tableColumn id="7" xr3:uid="{00000000-0010-0000-0000-000007000000}" name="6" totalsRowFunction="custom" dataDxfId="874" totalsRowDxfId="873" dataCellStyle="Total">
      <totalsRowFormula>SUBTOTAL(103,Janvier!$H$9:$H$13)</totalsRowFormula>
    </tableColumn>
    <tableColumn id="8" xr3:uid="{00000000-0010-0000-0000-000008000000}" name="7" totalsRowFunction="custom" dataDxfId="872" totalsRowDxfId="871" dataCellStyle="Total">
      <totalsRowFormula>SUBTOTAL(103,Janvier!$I$9:$I$13)</totalsRowFormula>
    </tableColumn>
    <tableColumn id="9" xr3:uid="{00000000-0010-0000-0000-000009000000}" name="8" totalsRowFunction="custom" dataDxfId="870" totalsRowDxfId="869" dataCellStyle="Total">
      <totalsRowFormula>SUBTOTAL(103,Janvier!$J$9:$J$13)</totalsRowFormula>
    </tableColumn>
    <tableColumn id="10" xr3:uid="{00000000-0010-0000-0000-00000A000000}" name="9" totalsRowFunction="custom" dataDxfId="868" totalsRowDxfId="867" dataCellStyle="Total">
      <totalsRowFormula>SUBTOTAL(103,Janvier!$K$9:$K$13)</totalsRowFormula>
    </tableColumn>
    <tableColumn id="11" xr3:uid="{00000000-0010-0000-0000-00000B000000}" name="10" totalsRowFunction="custom" dataDxfId="866" totalsRowDxfId="865" dataCellStyle="Total">
      <totalsRowFormula>SUBTOTAL(103,Janvier!$L$9:$L$13)</totalsRowFormula>
    </tableColumn>
    <tableColumn id="12" xr3:uid="{00000000-0010-0000-0000-00000C000000}" name="11" totalsRowFunction="custom" dataDxfId="864" totalsRowDxfId="863" dataCellStyle="Total">
      <totalsRowFormula>SUBTOTAL(103,Janvier!$M$9:$M$13)</totalsRowFormula>
    </tableColumn>
    <tableColumn id="13" xr3:uid="{00000000-0010-0000-0000-00000D000000}" name="12" totalsRowFunction="custom" dataDxfId="862" totalsRowDxfId="861" dataCellStyle="Total">
      <totalsRowFormula>SUBTOTAL(103,Janvier!$N$9:$N$13)</totalsRowFormula>
    </tableColumn>
    <tableColumn id="14" xr3:uid="{00000000-0010-0000-0000-00000E000000}" name="13" totalsRowFunction="custom" dataDxfId="860" totalsRowDxfId="859" dataCellStyle="Total">
      <totalsRowFormula>SUBTOTAL(103,Janvier!$O$9:$O$13)</totalsRowFormula>
    </tableColumn>
    <tableColumn id="15" xr3:uid="{00000000-0010-0000-0000-00000F000000}" name="14" totalsRowFunction="custom" dataDxfId="858" totalsRowDxfId="857" dataCellStyle="Total">
      <totalsRowFormula>SUBTOTAL(103,Janvier!$P$9:$P$13)</totalsRowFormula>
    </tableColumn>
    <tableColumn id="16" xr3:uid="{00000000-0010-0000-0000-000010000000}" name="15" totalsRowFunction="custom" dataDxfId="856" totalsRowDxfId="855" dataCellStyle="Total">
      <totalsRowFormula>SUBTOTAL(103,Janvier!$Q$9:$Q$13)</totalsRowFormula>
    </tableColumn>
    <tableColumn id="17" xr3:uid="{00000000-0010-0000-0000-000011000000}" name="16" totalsRowFunction="custom" dataDxfId="854" totalsRowDxfId="853" dataCellStyle="Total">
      <totalsRowFormula>SUBTOTAL(103,Janvier!$R$9:$R$13)</totalsRowFormula>
    </tableColumn>
    <tableColumn id="18" xr3:uid="{00000000-0010-0000-0000-000012000000}" name="17" totalsRowFunction="custom" dataDxfId="852" totalsRowDxfId="851" dataCellStyle="Total">
      <totalsRowFormula>SUBTOTAL(103,Janvier!$S$9:$S$13)</totalsRowFormula>
    </tableColumn>
    <tableColumn id="19" xr3:uid="{00000000-0010-0000-0000-000013000000}" name="18" totalsRowFunction="custom" dataDxfId="850" totalsRowDxfId="849" dataCellStyle="Total">
      <totalsRowFormula>SUBTOTAL(103,Janvier!$T$9:$T$13)</totalsRowFormula>
    </tableColumn>
    <tableColumn id="20" xr3:uid="{00000000-0010-0000-0000-000014000000}" name="19" totalsRowFunction="custom" dataDxfId="848" totalsRowDxfId="847" dataCellStyle="Total">
      <totalsRowFormula>SUBTOTAL(103,Janvier!$U$9:$U$13)</totalsRowFormula>
    </tableColumn>
    <tableColumn id="21" xr3:uid="{00000000-0010-0000-0000-000015000000}" name="20" totalsRowFunction="custom" dataDxfId="846" totalsRowDxfId="845" dataCellStyle="Total">
      <totalsRowFormula>SUBTOTAL(103,Janvier!$V$9:$V$13)</totalsRowFormula>
    </tableColumn>
    <tableColumn id="22" xr3:uid="{00000000-0010-0000-0000-000016000000}" name="21" totalsRowFunction="custom" dataDxfId="844" totalsRowDxfId="843" dataCellStyle="Total">
      <totalsRowFormula>SUBTOTAL(103,Janvier!$W$9:$W$13)</totalsRowFormula>
    </tableColumn>
    <tableColumn id="23" xr3:uid="{00000000-0010-0000-0000-000017000000}" name="22" totalsRowFunction="custom" dataDxfId="842" totalsRowDxfId="841" dataCellStyle="Total">
      <totalsRowFormula>SUBTOTAL(103,Janvier!$X$9:$X$13)</totalsRowFormula>
    </tableColumn>
    <tableColumn id="24" xr3:uid="{00000000-0010-0000-0000-000018000000}" name="23" totalsRowFunction="custom" dataDxfId="840" totalsRowDxfId="839" dataCellStyle="Total">
      <totalsRowFormula>SUBTOTAL(103,Janvier!$Y$9:$Y$13)</totalsRowFormula>
    </tableColumn>
    <tableColumn id="25" xr3:uid="{00000000-0010-0000-0000-000019000000}" name="24" totalsRowFunction="custom" dataDxfId="838" totalsRowDxfId="837" dataCellStyle="Total">
      <totalsRowFormula>SUBTOTAL(103,Janvier!$Z$9:$Z$13)</totalsRowFormula>
    </tableColumn>
    <tableColumn id="26" xr3:uid="{00000000-0010-0000-0000-00001A000000}" name="25" totalsRowFunction="custom" dataDxfId="836" totalsRowDxfId="835" dataCellStyle="Total">
      <totalsRowFormula>SUBTOTAL(103,Janvier!$AA$9:$AA$13)</totalsRowFormula>
    </tableColumn>
    <tableColumn id="27" xr3:uid="{00000000-0010-0000-0000-00001B000000}" name="26" totalsRowFunction="custom" dataDxfId="834" totalsRowDxfId="833" dataCellStyle="Total">
      <totalsRowFormula>SUBTOTAL(103,Janvier!$AB$9:$AB$13)</totalsRowFormula>
    </tableColumn>
    <tableColumn id="28" xr3:uid="{00000000-0010-0000-0000-00001C000000}" name="27" totalsRowFunction="custom" dataDxfId="832" totalsRowDxfId="831" dataCellStyle="Total">
      <totalsRowFormula>SUBTOTAL(103,Janvier!$AC$9:$AC$13)</totalsRowFormula>
    </tableColumn>
    <tableColumn id="29" xr3:uid="{00000000-0010-0000-0000-00001D000000}" name="28" totalsRowFunction="custom" dataDxfId="830" totalsRowDxfId="829" dataCellStyle="Total">
      <totalsRowFormula>SUBTOTAL(103,Janvier!$AD$9:$AD$13)</totalsRowFormula>
    </tableColumn>
    <tableColumn id="30" xr3:uid="{00000000-0010-0000-0000-00001E000000}" name="29" totalsRowFunction="custom" dataDxfId="828" totalsRowDxfId="827" dataCellStyle="Total">
      <totalsRowFormula>SUBTOTAL(103,Janvier!$AE$9:$AE$13)</totalsRowFormula>
    </tableColumn>
    <tableColumn id="31" xr3:uid="{00000000-0010-0000-0000-00001F000000}" name="30" totalsRowFunction="custom" dataDxfId="826" totalsRowDxfId="825" dataCellStyle="Total">
      <totalsRowFormula>SUBTOTAL(103,Janvier!$AF$9:$AF$13)</totalsRowFormula>
    </tableColumn>
    <tableColumn id="32" xr3:uid="{00000000-0010-0000-0000-000020000000}" name="31" totalsRowFunction="custom" dataDxfId="824" totalsRowDxfId="823" dataCellStyle="Total">
      <totalsRowFormula>SUBTOTAL(103,Janvier!$AG$9:$AG$13)</totalsRowFormula>
    </tableColumn>
    <tableColumn id="33" xr3:uid="{00000000-0010-0000-0000-000021000000}" name="Total des jours" totalsRowFunction="sum" dataDxfId="822" totalsRowDxfId="821" dataCellStyle="Total">
      <calculatedColumnFormula>COUNTA(Janvier!$C9:$AG9)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8:AH14" totalsRowCount="1" headerRowDxfId="820" dataDxfId="819" totalsRowDxfId="818">
  <tableColumns count="33">
    <tableColumn id="1" xr3:uid="{00000000-0010-0000-0100-000001000000}" name="Nom de l’employé" totalsRowFunction="custom" dataDxfId="817" totalsRowDxfId="816" dataCellStyle="Employé">
      <totalsRowFormula>NomMois&amp;" total"</totalsRowFormula>
    </tableColumn>
    <tableColumn id="2" xr3:uid="{00000000-0010-0000-0100-000002000000}" name="1" totalsRowFunction="count" dataDxfId="815" totalsRowDxfId="814" dataCellStyle="Total"/>
    <tableColumn id="3" xr3:uid="{00000000-0010-0000-0100-000003000000}" name="2" totalsRowFunction="count" dataDxfId="813" totalsRowDxfId="812" dataCellStyle="Total"/>
    <tableColumn id="4" xr3:uid="{00000000-0010-0000-0100-000004000000}" name="3" totalsRowFunction="count" dataDxfId="811" totalsRowDxfId="810" dataCellStyle="Total"/>
    <tableColumn id="5" xr3:uid="{00000000-0010-0000-0100-000005000000}" name="4" totalsRowFunction="count" dataDxfId="809" totalsRowDxfId="808" dataCellStyle="Total"/>
    <tableColumn id="6" xr3:uid="{00000000-0010-0000-0100-000006000000}" name="5" totalsRowFunction="count" dataDxfId="807" totalsRowDxfId="806" dataCellStyle="Total"/>
    <tableColumn id="7" xr3:uid="{00000000-0010-0000-0100-000007000000}" name="6" totalsRowFunction="count" dataDxfId="805" totalsRowDxfId="804" dataCellStyle="Total"/>
    <tableColumn id="8" xr3:uid="{00000000-0010-0000-0100-000008000000}" name="7" totalsRowFunction="count" dataDxfId="803" totalsRowDxfId="802" dataCellStyle="Total"/>
    <tableColumn id="9" xr3:uid="{00000000-0010-0000-0100-000009000000}" name="8" totalsRowFunction="count" dataDxfId="801" totalsRowDxfId="800" dataCellStyle="Total"/>
    <tableColumn id="10" xr3:uid="{00000000-0010-0000-0100-00000A000000}" name="9" totalsRowFunction="count" dataDxfId="799" totalsRowDxfId="798" dataCellStyle="Total"/>
    <tableColumn id="11" xr3:uid="{00000000-0010-0000-0100-00000B000000}" name="10" totalsRowFunction="count" dataDxfId="797" totalsRowDxfId="796" dataCellStyle="Total"/>
    <tableColumn id="12" xr3:uid="{00000000-0010-0000-0100-00000C000000}" name="11" totalsRowFunction="count" dataDxfId="795" totalsRowDxfId="794" dataCellStyle="Total"/>
    <tableColumn id="13" xr3:uid="{00000000-0010-0000-0100-00000D000000}" name="12" totalsRowFunction="count" dataDxfId="793" totalsRowDxfId="792" dataCellStyle="Total"/>
    <tableColumn id="14" xr3:uid="{00000000-0010-0000-0100-00000E000000}" name="13" totalsRowFunction="count" dataDxfId="791" totalsRowDxfId="790" dataCellStyle="Total"/>
    <tableColumn id="15" xr3:uid="{00000000-0010-0000-0100-00000F000000}" name="14" totalsRowFunction="count" dataDxfId="789" totalsRowDxfId="788" dataCellStyle="Total"/>
    <tableColumn id="16" xr3:uid="{00000000-0010-0000-0100-000010000000}" name="15" totalsRowFunction="count" dataDxfId="787" totalsRowDxfId="786" dataCellStyle="Total"/>
    <tableColumn id="17" xr3:uid="{00000000-0010-0000-0100-000011000000}" name="16" totalsRowFunction="count" dataDxfId="785" totalsRowDxfId="784" dataCellStyle="Total"/>
    <tableColumn id="18" xr3:uid="{00000000-0010-0000-0100-000012000000}" name="17" totalsRowFunction="count" dataDxfId="783" totalsRowDxfId="782" dataCellStyle="Total"/>
    <tableColumn id="19" xr3:uid="{00000000-0010-0000-0100-000013000000}" name="18" totalsRowFunction="count" dataDxfId="781" totalsRowDxfId="780" dataCellStyle="Total"/>
    <tableColumn id="20" xr3:uid="{00000000-0010-0000-0100-000014000000}" name="19" totalsRowFunction="count" dataDxfId="779" totalsRowDxfId="778" dataCellStyle="Total"/>
    <tableColumn id="21" xr3:uid="{00000000-0010-0000-0100-000015000000}" name="20" totalsRowFunction="count" dataDxfId="777" totalsRowDxfId="776" dataCellStyle="Total"/>
    <tableColumn id="22" xr3:uid="{00000000-0010-0000-0100-000016000000}" name="21" totalsRowFunction="count" dataDxfId="775" totalsRowDxfId="774" dataCellStyle="Total"/>
    <tableColumn id="23" xr3:uid="{00000000-0010-0000-0100-000017000000}" name="22" totalsRowFunction="count" dataDxfId="773" totalsRowDxfId="772" dataCellStyle="Total"/>
    <tableColumn id="24" xr3:uid="{00000000-0010-0000-0100-000018000000}" name="23" totalsRowFunction="count" dataDxfId="771" totalsRowDxfId="770" dataCellStyle="Total"/>
    <tableColumn id="25" xr3:uid="{00000000-0010-0000-0100-000019000000}" name="24" totalsRowFunction="count" dataDxfId="769" totalsRowDxfId="768" dataCellStyle="Total"/>
    <tableColumn id="26" xr3:uid="{00000000-0010-0000-0100-00001A000000}" name="25" totalsRowFunction="count" dataDxfId="767" totalsRowDxfId="766" dataCellStyle="Total"/>
    <tableColumn id="27" xr3:uid="{00000000-0010-0000-0100-00001B000000}" name="26" totalsRowFunction="count" dataDxfId="765" totalsRowDxfId="764" dataCellStyle="Total"/>
    <tableColumn id="28" xr3:uid="{00000000-0010-0000-0100-00001C000000}" name="27" totalsRowFunction="count" dataDxfId="763" totalsRowDxfId="762" dataCellStyle="Total"/>
    <tableColumn id="29" xr3:uid="{00000000-0010-0000-0100-00001D000000}" name="28" totalsRowFunction="count" dataDxfId="761" totalsRowDxfId="760" dataCellStyle="Total"/>
    <tableColumn id="30" xr3:uid="{00000000-0010-0000-0100-00001E000000}" name="29" totalsRowFunction="count" dataDxfId="759" totalsRowDxfId="758" dataCellStyle="Total"/>
    <tableColumn id="31" xr3:uid="{00000000-0010-0000-0100-00001F000000}" name=" " dataDxfId="757" totalsRowDxfId="756" dataCellStyle="Total"/>
    <tableColumn id="32" xr3:uid="{00000000-0010-0000-0100-000020000000}" name="  " dataDxfId="755" totalsRowDxfId="754" dataCellStyle="Total"/>
    <tableColumn id="33" xr3:uid="{00000000-0010-0000-0100-000021000000}" name="Total des jours" totalsRowFunction="sum" dataDxfId="753" totalsRowDxfId="752"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8:AH14" totalsRowCount="1" headerRowDxfId="751" dataDxfId="750" totalsRowDxfId="749">
  <tableColumns count="33">
    <tableColumn id="1" xr3:uid="{00000000-0010-0000-0200-000001000000}" name="Nom de l’employé" totalsRowFunction="custom" dataDxfId="748" totalsRowDxfId="747" dataCellStyle="Employé">
      <totalsRowFormula>NomMois&amp;" Total"</totalsRowFormula>
    </tableColumn>
    <tableColumn id="2" xr3:uid="{00000000-0010-0000-0200-000002000000}" name="1" totalsRowFunction="count" dataDxfId="746" totalsRowDxfId="745"/>
    <tableColumn id="3" xr3:uid="{00000000-0010-0000-0200-000003000000}" name="2" totalsRowFunction="count" dataDxfId="744" totalsRowDxfId="743"/>
    <tableColumn id="4" xr3:uid="{00000000-0010-0000-0200-000004000000}" name="3" totalsRowFunction="count" dataDxfId="742" totalsRowDxfId="741"/>
    <tableColumn id="5" xr3:uid="{00000000-0010-0000-0200-000005000000}" name="4" totalsRowFunction="count" dataDxfId="740" totalsRowDxfId="739"/>
    <tableColumn id="6" xr3:uid="{00000000-0010-0000-0200-000006000000}" name="5" totalsRowFunction="count" dataDxfId="738" totalsRowDxfId="737"/>
    <tableColumn id="7" xr3:uid="{00000000-0010-0000-0200-000007000000}" name="6" totalsRowFunction="count" dataDxfId="736" totalsRowDxfId="735"/>
    <tableColumn id="8" xr3:uid="{00000000-0010-0000-0200-000008000000}" name="7" totalsRowFunction="count" dataDxfId="734" totalsRowDxfId="733"/>
    <tableColumn id="9" xr3:uid="{00000000-0010-0000-0200-000009000000}" name="8" totalsRowFunction="count" dataDxfId="732" totalsRowDxfId="731"/>
    <tableColumn id="10" xr3:uid="{00000000-0010-0000-0200-00000A000000}" name="9" totalsRowFunction="count" dataDxfId="730" totalsRowDxfId="729"/>
    <tableColumn id="11" xr3:uid="{00000000-0010-0000-0200-00000B000000}" name="10" totalsRowFunction="count" dataDxfId="728" totalsRowDxfId="727"/>
    <tableColumn id="12" xr3:uid="{00000000-0010-0000-0200-00000C000000}" name="11" totalsRowFunction="count" dataDxfId="726" totalsRowDxfId="725"/>
    <tableColumn id="13" xr3:uid="{00000000-0010-0000-0200-00000D000000}" name="12" totalsRowFunction="count" dataDxfId="724" totalsRowDxfId="723"/>
    <tableColumn id="14" xr3:uid="{00000000-0010-0000-0200-00000E000000}" name="13" totalsRowFunction="count" dataDxfId="722" totalsRowDxfId="721"/>
    <tableColumn id="15" xr3:uid="{00000000-0010-0000-0200-00000F000000}" name="14" totalsRowFunction="count" dataDxfId="720" totalsRowDxfId="719"/>
    <tableColumn id="16" xr3:uid="{00000000-0010-0000-0200-000010000000}" name="15" totalsRowFunction="count" dataDxfId="718" totalsRowDxfId="717"/>
    <tableColumn id="17" xr3:uid="{00000000-0010-0000-0200-000011000000}" name="16" totalsRowFunction="count" dataDxfId="716" totalsRowDxfId="715"/>
    <tableColumn id="18" xr3:uid="{00000000-0010-0000-0200-000012000000}" name="17" totalsRowFunction="count" dataDxfId="714" totalsRowDxfId="713"/>
    <tableColumn id="19" xr3:uid="{00000000-0010-0000-0200-000013000000}" name="18" totalsRowFunction="count" dataDxfId="712" totalsRowDxfId="711"/>
    <tableColumn id="20" xr3:uid="{00000000-0010-0000-0200-000014000000}" name="19" totalsRowFunction="count" dataDxfId="710" totalsRowDxfId="709"/>
    <tableColumn id="21" xr3:uid="{00000000-0010-0000-0200-000015000000}" name="20" totalsRowFunction="count" dataDxfId="708" totalsRowDxfId="707"/>
    <tableColumn id="22" xr3:uid="{00000000-0010-0000-0200-000016000000}" name="21" totalsRowFunction="count" dataDxfId="706" totalsRowDxfId="705"/>
    <tableColumn id="23" xr3:uid="{00000000-0010-0000-0200-000017000000}" name="22" totalsRowFunction="count" dataDxfId="704" totalsRowDxfId="703"/>
    <tableColumn id="24" xr3:uid="{00000000-0010-0000-0200-000018000000}" name="23" totalsRowFunction="count" dataDxfId="702" totalsRowDxfId="701"/>
    <tableColumn id="25" xr3:uid="{00000000-0010-0000-0200-000019000000}" name="24" totalsRowFunction="count" dataDxfId="700" totalsRowDxfId="699"/>
    <tableColumn id="26" xr3:uid="{00000000-0010-0000-0200-00001A000000}" name="25" totalsRowFunction="count" dataDxfId="698" totalsRowDxfId="697"/>
    <tableColumn id="27" xr3:uid="{00000000-0010-0000-0200-00001B000000}" name="26" totalsRowFunction="count" dataDxfId="696" totalsRowDxfId="695"/>
    <tableColumn id="28" xr3:uid="{00000000-0010-0000-0200-00001C000000}" name="27" totalsRowFunction="count" dataDxfId="694" totalsRowDxfId="693"/>
    <tableColumn id="29" xr3:uid="{00000000-0010-0000-0200-00001D000000}" name="28" totalsRowFunction="count" dataDxfId="692" totalsRowDxfId="691"/>
    <tableColumn id="30" xr3:uid="{00000000-0010-0000-0200-00001E000000}" name="29" totalsRowFunction="count" dataDxfId="690" totalsRowDxfId="689"/>
    <tableColumn id="31" xr3:uid="{00000000-0010-0000-0200-00001F000000}" name="30" totalsRowFunction="sum" dataDxfId="688" totalsRowDxfId="687"/>
    <tableColumn id="32" xr3:uid="{00000000-0010-0000-0200-000020000000}" name="31" totalsRowFunction="sum" dataDxfId="686" totalsRowDxfId="685" dataCellStyle="Total"/>
    <tableColumn id="33" xr3:uid="{00000000-0010-0000-0200-000021000000}" name="Total des jours" totalsRowFunction="sum" dataDxfId="684" totalsRowDxfId="683"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F0214BC2-F1A9-794B-922E-B532EC6BBFDF}" name="March5" displayName="March5" ref="B8:AH14" totalsRowCount="1" headerRowDxfId="682" dataDxfId="681" totalsRowDxfId="680">
  <tableColumns count="33">
    <tableColumn id="1" xr3:uid="{5251F992-E710-C643-B160-C37BB2131D31}" name="Nom de l’employé" totalsRowFunction="custom" dataDxfId="679" totalsRowDxfId="678" dataCellStyle="Employé">
      <totalsRowFormula>NomMois&amp;" Total"</totalsRowFormula>
    </tableColumn>
    <tableColumn id="2" xr3:uid="{9AEC3AA3-9F0E-4B4E-A8ED-026BAE9C428F}" name="1" totalsRowFunction="count" dataDxfId="677" totalsRowDxfId="676"/>
    <tableColumn id="3" xr3:uid="{55750F7A-05DD-CB41-95C5-BE1F874725AE}" name="2" totalsRowFunction="count" dataDxfId="675" totalsRowDxfId="674"/>
    <tableColumn id="4" xr3:uid="{259912E4-C37B-5145-B99B-93F989E18A49}" name="3" totalsRowFunction="count" dataDxfId="673" totalsRowDxfId="672"/>
    <tableColumn id="5" xr3:uid="{44743504-4BFF-3B46-87DE-A0AE5C8C9FC0}" name="4" totalsRowFunction="count" dataDxfId="671" totalsRowDxfId="670"/>
    <tableColumn id="6" xr3:uid="{471BE969-F222-D642-8D1A-B386CCC29AB2}" name="5" totalsRowFunction="count" dataDxfId="669" totalsRowDxfId="668"/>
    <tableColumn id="7" xr3:uid="{35FEC3F2-5280-D342-A070-AB9A3C3BCF0A}" name="6" totalsRowFunction="count" dataDxfId="667" totalsRowDxfId="666"/>
    <tableColumn id="8" xr3:uid="{D4047C63-7046-5242-9483-0BC31BD18200}" name="7" totalsRowFunction="count" dataDxfId="665" totalsRowDxfId="664"/>
    <tableColumn id="9" xr3:uid="{79A2B7D0-444A-5942-9296-2BD32E471C66}" name="8" totalsRowFunction="count" dataDxfId="663" totalsRowDxfId="662"/>
    <tableColumn id="10" xr3:uid="{B46D113E-7D39-5A43-BAA4-11739C4AD0C2}" name="9" totalsRowFunction="count" dataDxfId="661" totalsRowDxfId="660"/>
    <tableColumn id="11" xr3:uid="{977EC8E9-AEB6-3E40-BE79-A406D4D3444D}" name="10" totalsRowFunction="count" dataDxfId="659" totalsRowDxfId="658"/>
    <tableColumn id="12" xr3:uid="{42883C66-F682-394E-8D72-6C0286CB27EA}" name="11" totalsRowFunction="count" dataDxfId="657" totalsRowDxfId="656"/>
    <tableColumn id="13" xr3:uid="{9A10401F-4CF0-8641-BCEB-2237315C8881}" name="12" totalsRowFunction="count" dataDxfId="655" totalsRowDxfId="654"/>
    <tableColumn id="14" xr3:uid="{9C8C4D04-BE8B-FB44-9666-B515D905B2D6}" name="13" totalsRowFunction="count" dataDxfId="653" totalsRowDxfId="652"/>
    <tableColumn id="15" xr3:uid="{E996717D-17EC-B048-A561-2AD987D342D0}" name="14" totalsRowFunction="count" dataDxfId="651" totalsRowDxfId="650"/>
    <tableColumn id="16" xr3:uid="{3BFEBF2B-F60F-A142-86F2-75C9DC96AFDB}" name="15" totalsRowFunction="count" dataDxfId="649" totalsRowDxfId="648"/>
    <tableColumn id="17" xr3:uid="{0C97EF54-1361-BE43-8F7F-1BCE23E1AB5A}" name="16" totalsRowFunction="count" dataDxfId="647" totalsRowDxfId="646"/>
    <tableColumn id="18" xr3:uid="{257791F4-E1CB-0642-BD3B-FB1B81C57DF1}" name="17" totalsRowFunction="count" dataDxfId="645" totalsRowDxfId="644"/>
    <tableColumn id="19" xr3:uid="{BB7AB6EF-7B76-5946-B53A-22DB3EB1F3FC}" name="18" totalsRowFunction="count" dataDxfId="643" totalsRowDxfId="642"/>
    <tableColumn id="20" xr3:uid="{85AEA6C3-1E60-234F-8E68-DD23536D850B}" name="19" totalsRowFunction="count" dataDxfId="641" totalsRowDxfId="640"/>
    <tableColumn id="21" xr3:uid="{A73B9507-91D4-9B42-8C0E-1E0FB67905F8}" name="20" totalsRowFunction="count" dataDxfId="639" totalsRowDxfId="638"/>
    <tableColumn id="22" xr3:uid="{5C7BDCBF-0A5A-4549-B80B-C8343893EAF7}" name="21" totalsRowFunction="count" dataDxfId="637" totalsRowDxfId="636"/>
    <tableColumn id="23" xr3:uid="{EC439ECF-E0C6-5D41-9DA2-07E3E82FF691}" name="22" totalsRowFunction="count" dataDxfId="635" totalsRowDxfId="634"/>
    <tableColumn id="24" xr3:uid="{97854A72-AEC9-604B-B1D4-06EC15436469}" name="23" totalsRowFunction="count" dataDxfId="633" totalsRowDxfId="632"/>
    <tableColumn id="25" xr3:uid="{F701FD79-E584-DF4B-83E9-A152532FDD15}" name="24" totalsRowFunction="count" dataDxfId="631" totalsRowDxfId="630"/>
    <tableColumn id="26" xr3:uid="{C662F6C1-F102-5942-8719-E32AD8792020}" name="25" totalsRowFunction="count" dataDxfId="629" totalsRowDxfId="628"/>
    <tableColumn id="27" xr3:uid="{50B9E2E5-9F39-0F45-AE9B-4555A77D295D}" name="26" totalsRowFunction="count" dataDxfId="627" totalsRowDxfId="626"/>
    <tableColumn id="28" xr3:uid="{3E4AF3CF-CB70-0842-B373-83CF59CBDA1D}" name="27" totalsRowFunction="count" dataDxfId="625" totalsRowDxfId="624"/>
    <tableColumn id="29" xr3:uid="{C5FCD875-31A1-4B41-AAF6-09E535D80C81}" name="28" totalsRowFunction="count" dataDxfId="623" totalsRowDxfId="622"/>
    <tableColumn id="30" xr3:uid="{84F06E67-080B-CA42-8EEC-59690B041A03}" name="29" totalsRowFunction="count" dataDxfId="621" totalsRowDxfId="620"/>
    <tableColumn id="31" xr3:uid="{284765D5-58F9-F440-84EA-ACE449176ACA}" name="30" totalsRowFunction="sum" dataDxfId="619" totalsRowDxfId="618"/>
    <tableColumn id="32" xr3:uid="{9C77C5AD-4E19-B843-B9BE-2909F268D667}" name=" " totalsRowFunction="sum" dataDxfId="617" totalsRowDxfId="616" dataCellStyle="Total"/>
    <tableColumn id="33" xr3:uid="{0DA7656D-8525-2046-AEDA-1F40E411BD0D}" name="Total des jours" totalsRowFunction="sum" dataDxfId="615" totalsRowDxfId="614" dataCellStyle="Total">
      <calculatedColumnFormula>COUNTA(March5[[#This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8E83FD69-EC79-6B43-9728-DBC90C3FDC77}" name="March58" displayName="March58" ref="B8:AH14" totalsRowCount="1" headerRowDxfId="613" dataDxfId="612" totalsRowDxfId="611">
  <tableColumns count="33">
    <tableColumn id="1" xr3:uid="{5910D0B6-76A8-1646-97A8-4AE2D1756125}" name="Nom de l’employé" totalsRowFunction="custom" dataDxfId="610" totalsRowDxfId="609" dataCellStyle="Employé">
      <totalsRowFormula>NomMois&amp;" Total"</totalsRowFormula>
    </tableColumn>
    <tableColumn id="2" xr3:uid="{69C27970-12EA-0E42-AF5F-351BA83FD215}" name="1" totalsRowFunction="count" dataDxfId="608" totalsRowDxfId="607"/>
    <tableColumn id="3" xr3:uid="{2DB67051-6E13-964F-86B0-B00AA9A5BFAF}" name="2" totalsRowFunction="count" dataDxfId="606" totalsRowDxfId="605"/>
    <tableColumn id="4" xr3:uid="{CF201FDD-65B9-BE4B-BE51-45EFCA258036}" name="3" totalsRowFunction="count" dataDxfId="604" totalsRowDxfId="603"/>
    <tableColumn id="5" xr3:uid="{E03823B4-0CCA-7D47-BCFD-4BB07A97D88C}" name="4" totalsRowFunction="count" dataDxfId="602" totalsRowDxfId="601"/>
    <tableColumn id="6" xr3:uid="{5F39FD90-2520-0847-B186-6CA5B07A072F}" name="5" totalsRowFunction="count" dataDxfId="600" totalsRowDxfId="599"/>
    <tableColumn id="7" xr3:uid="{D7992C25-6255-D54A-8B77-C3032B2914E8}" name="6" totalsRowFunction="count" dataDxfId="598" totalsRowDxfId="597"/>
    <tableColumn id="8" xr3:uid="{161AB8A2-4451-FA40-9408-833AFFC6D7CD}" name="7" totalsRowFunction="count" dataDxfId="596" totalsRowDxfId="595"/>
    <tableColumn id="9" xr3:uid="{82432B13-145C-AC4E-A84F-0C211DED3AEE}" name="8" totalsRowFunction="count" dataDxfId="594" totalsRowDxfId="593"/>
    <tableColumn id="10" xr3:uid="{994E3A00-A93E-8A4C-A93F-5DF73DB59AA5}" name="9" totalsRowFunction="count" dataDxfId="592" totalsRowDxfId="591"/>
    <tableColumn id="11" xr3:uid="{ADA642AC-6B5D-4749-B631-64A63466A02A}" name="10" totalsRowFunction="count" dataDxfId="590" totalsRowDxfId="589"/>
    <tableColumn id="12" xr3:uid="{E1D9D052-9150-4B4A-873C-04B0C9F0EAA0}" name="11" totalsRowFunction="count" dataDxfId="588" totalsRowDxfId="587"/>
    <tableColumn id="13" xr3:uid="{7804DD46-EEB3-7047-A68F-A81094B2F0E0}" name="12" totalsRowFunction="count" dataDxfId="586" totalsRowDxfId="585"/>
    <tableColumn id="14" xr3:uid="{39F98B96-5BF4-7747-A3D2-F58049C2C331}" name="13" totalsRowFunction="count" dataDxfId="584" totalsRowDxfId="583"/>
    <tableColumn id="15" xr3:uid="{8908FF7E-1791-CA41-8CF3-4A9F971974C3}" name="14" totalsRowFunction="count" dataDxfId="582" totalsRowDxfId="581"/>
    <tableColumn id="16" xr3:uid="{773FDBBE-AB42-A546-8329-8BDAEF4D06C4}" name="15" totalsRowFunction="count" dataDxfId="580" totalsRowDxfId="579"/>
    <tableColumn id="17" xr3:uid="{01EE92EC-B490-AF40-BDB2-290F1B1C3C58}" name="16" totalsRowFunction="count" dataDxfId="578" totalsRowDxfId="577"/>
    <tableColumn id="18" xr3:uid="{DF22A54C-2BE2-1340-BC66-FDDF323ABBE0}" name="17" totalsRowFunction="count" dataDxfId="576" totalsRowDxfId="575"/>
    <tableColumn id="19" xr3:uid="{BB1CDCA3-E15B-8D4E-ABE5-0D5BE02A950E}" name="18" totalsRowFunction="count" dataDxfId="574" totalsRowDxfId="573"/>
    <tableColumn id="20" xr3:uid="{4D5E657B-D9D2-8C4A-A4EB-E29B4B8BCF70}" name="19" totalsRowFunction="count" dataDxfId="572" totalsRowDxfId="571"/>
    <tableColumn id="21" xr3:uid="{B5D1019E-86BD-A146-A976-653D87FAC02B}" name="20" totalsRowFunction="count" dataDxfId="570" totalsRowDxfId="569"/>
    <tableColumn id="22" xr3:uid="{D1F7F5A1-B363-AC44-9332-4BA33D6CCEA8}" name="21" totalsRowFunction="count" dataDxfId="568" totalsRowDxfId="567"/>
    <tableColumn id="23" xr3:uid="{0EEDA366-AE45-0947-A354-D1B1BEB67F28}" name="22" totalsRowFunction="count" dataDxfId="566" totalsRowDxfId="565"/>
    <tableColumn id="24" xr3:uid="{8DB56569-FE6B-4249-B364-D76AC1D9BE79}" name="23" totalsRowFunction="count" dataDxfId="564" totalsRowDxfId="563"/>
    <tableColumn id="25" xr3:uid="{5BECBC0C-925A-8245-AD6D-847781A68957}" name="24" totalsRowFunction="count" dataDxfId="562" totalsRowDxfId="561"/>
    <tableColumn id="26" xr3:uid="{7D745BDB-6C53-8B4B-BA72-5FBDCB5D9CCC}" name="25" totalsRowFunction="count" dataDxfId="560" totalsRowDxfId="559"/>
    <tableColumn id="27" xr3:uid="{FA6FFB4C-5E6D-DA4E-8F87-EEC900B26695}" name="26" totalsRowFunction="count" dataDxfId="558" totalsRowDxfId="557"/>
    <tableColumn id="28" xr3:uid="{A50BDA94-D72B-C043-A8B2-E1E178EA827F}" name="27" totalsRowFunction="count" dataDxfId="556" totalsRowDxfId="555"/>
    <tableColumn id="29" xr3:uid="{D68B12D0-F485-FF42-B2E6-30EC0E2C418D}" name="28" totalsRowFunction="count" dataDxfId="554" totalsRowDxfId="553"/>
    <tableColumn id="30" xr3:uid="{695C2584-A6A5-D742-A768-02D19E90DEBC}" name="29" totalsRowFunction="count" dataDxfId="552" totalsRowDxfId="551"/>
    <tableColumn id="31" xr3:uid="{0B002160-8CE9-4B4E-A7A4-CFE8C54F8781}" name="30" totalsRowFunction="sum" dataDxfId="550" totalsRowDxfId="549"/>
    <tableColumn id="32" xr3:uid="{9A241B27-F77F-9E49-9678-7978D0423F17}" name="31" totalsRowFunction="sum" dataDxfId="548" totalsRowDxfId="547" dataCellStyle="Total"/>
    <tableColumn id="33" xr3:uid="{C85EB010-29D3-FD4A-9882-B705BDC3D2EF}" name="Total des jours" totalsRowFunction="sum" dataDxfId="546" totalsRowDxfId="545" dataCellStyle="Total">
      <calculatedColumnFormula>COUNTA(March58[[#This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8:AH14" totalsRowCount="1" headerRowDxfId="544" dataDxfId="543" totalsRowDxfId="542">
  <tableColumns count="33">
    <tableColumn id="1" xr3:uid="{00000000-0010-0000-0500-000001000000}" name="Nom de l’employé" totalsRowFunction="custom" dataDxfId="541" totalsRowDxfId="540" dataCellStyle="Employé">
      <totalsRowFormula>NomMois&amp;" Total"</totalsRowFormula>
    </tableColumn>
    <tableColumn id="2" xr3:uid="{00000000-0010-0000-0500-000002000000}" name="1" totalsRowFunction="count" dataDxfId="539" totalsRowDxfId="538"/>
    <tableColumn id="3" xr3:uid="{00000000-0010-0000-0500-000003000000}" name="2" totalsRowFunction="count" dataDxfId="537" totalsRowDxfId="536"/>
    <tableColumn id="4" xr3:uid="{00000000-0010-0000-0500-000004000000}" name="3" totalsRowFunction="count" dataDxfId="535" totalsRowDxfId="534"/>
    <tableColumn id="5" xr3:uid="{00000000-0010-0000-0500-000005000000}" name="4" totalsRowFunction="count" dataDxfId="533" totalsRowDxfId="532"/>
    <tableColumn id="6" xr3:uid="{00000000-0010-0000-0500-000006000000}" name="5" totalsRowFunction="count" dataDxfId="531" totalsRowDxfId="530"/>
    <tableColumn id="7" xr3:uid="{00000000-0010-0000-0500-000007000000}" name="6" totalsRowFunction="count" dataDxfId="529" totalsRowDxfId="528"/>
    <tableColumn id="8" xr3:uid="{00000000-0010-0000-0500-000008000000}" name="7" totalsRowFunction="count" dataDxfId="527" totalsRowDxfId="526"/>
    <tableColumn id="9" xr3:uid="{00000000-0010-0000-0500-000009000000}" name="8" totalsRowFunction="count" dataDxfId="525" totalsRowDxfId="524"/>
    <tableColumn id="10" xr3:uid="{00000000-0010-0000-0500-00000A000000}" name="9" totalsRowFunction="count" dataDxfId="523" totalsRowDxfId="522"/>
    <tableColumn id="11" xr3:uid="{00000000-0010-0000-0500-00000B000000}" name="10" totalsRowFunction="count" dataDxfId="521" totalsRowDxfId="520"/>
    <tableColumn id="12" xr3:uid="{00000000-0010-0000-0500-00000C000000}" name="11" totalsRowFunction="count" dataDxfId="519" totalsRowDxfId="518"/>
    <tableColumn id="13" xr3:uid="{00000000-0010-0000-0500-00000D000000}" name="12" totalsRowFunction="count" dataDxfId="517" totalsRowDxfId="516"/>
    <tableColumn id="14" xr3:uid="{00000000-0010-0000-0500-00000E000000}" name="13" totalsRowFunction="count" dataDxfId="515" totalsRowDxfId="514"/>
    <tableColumn id="15" xr3:uid="{00000000-0010-0000-0500-00000F000000}" name="14" totalsRowFunction="count" dataDxfId="513" totalsRowDxfId="512"/>
    <tableColumn id="16" xr3:uid="{00000000-0010-0000-0500-000010000000}" name="15" totalsRowFunction="count" dataDxfId="511" totalsRowDxfId="510"/>
    <tableColumn id="17" xr3:uid="{00000000-0010-0000-0500-000011000000}" name="16" totalsRowFunction="count" dataDxfId="509" totalsRowDxfId="508"/>
    <tableColumn id="18" xr3:uid="{00000000-0010-0000-0500-000012000000}" name="17" totalsRowFunction="count" dataDxfId="507" totalsRowDxfId="506"/>
    <tableColumn id="19" xr3:uid="{00000000-0010-0000-0500-000013000000}" name="18" totalsRowFunction="count" dataDxfId="505" totalsRowDxfId="504"/>
    <tableColumn id="20" xr3:uid="{00000000-0010-0000-0500-000014000000}" name="19" totalsRowFunction="count" dataDxfId="503" totalsRowDxfId="502"/>
    <tableColumn id="21" xr3:uid="{00000000-0010-0000-0500-000015000000}" name="20" totalsRowFunction="count" dataDxfId="501" totalsRowDxfId="500"/>
    <tableColumn id="22" xr3:uid="{00000000-0010-0000-0500-000016000000}" name="21" totalsRowFunction="count" dataDxfId="499" totalsRowDxfId="498"/>
    <tableColumn id="23" xr3:uid="{00000000-0010-0000-0500-000017000000}" name="22" totalsRowFunction="count" dataDxfId="497" totalsRowDxfId="496"/>
    <tableColumn id="24" xr3:uid="{00000000-0010-0000-0500-000018000000}" name="23" totalsRowFunction="count" dataDxfId="495" totalsRowDxfId="494"/>
    <tableColumn id="25" xr3:uid="{00000000-0010-0000-0500-000019000000}" name="24" totalsRowFunction="count" dataDxfId="493" totalsRowDxfId="492"/>
    <tableColumn id="26" xr3:uid="{00000000-0010-0000-0500-00001A000000}" name="25" totalsRowFunction="count" dataDxfId="491" totalsRowDxfId="490"/>
    <tableColumn id="27" xr3:uid="{00000000-0010-0000-0500-00001B000000}" name="26" totalsRowFunction="count" dataDxfId="489" totalsRowDxfId="488"/>
    <tableColumn id="28" xr3:uid="{00000000-0010-0000-0500-00001C000000}" name="27" totalsRowFunction="count" dataDxfId="487" totalsRowDxfId="486"/>
    <tableColumn id="29" xr3:uid="{00000000-0010-0000-0500-00001D000000}" name="28" totalsRowFunction="count" dataDxfId="485" totalsRowDxfId="484"/>
    <tableColumn id="30" xr3:uid="{00000000-0010-0000-0500-00001E000000}" name="29" totalsRowFunction="count" dataDxfId="483" totalsRowDxfId="482"/>
    <tableColumn id="31" xr3:uid="{00000000-0010-0000-0500-00001F000000}" name="30" totalsRowFunction="sum" dataDxfId="481" totalsRowDxfId="480"/>
    <tableColumn id="32" xr3:uid="{00000000-0010-0000-0500-000020000000}" name=" " totalsRowFunction="sum" dataDxfId="479" totalsRowDxfId="478" dataCellStyle="Total"/>
    <tableColumn id="33" xr3:uid="{00000000-0010-0000-0500-000021000000}" name="Total des jours" totalsRowFunction="sum" dataDxfId="477" totalsRowDxfId="476" dataCellStyle="Total">
      <calculatedColumnFormula>COUNTA(Juin[[#This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8:AH14" totalsRowCount="1" headerRowDxfId="475" dataDxfId="474" totalsRowDxfId="473">
  <tableColumns count="33">
    <tableColumn id="1" xr3:uid="{00000000-0010-0000-0600-000001000000}" name="Nom de l’employé" totalsRowFunction="custom" dataDxfId="472" totalsRowDxfId="471" dataCellStyle="Employé">
      <totalsRowFormula>NomMois&amp;" Total"</totalsRowFormula>
    </tableColumn>
    <tableColumn id="2" xr3:uid="{00000000-0010-0000-0600-000002000000}" name="1" totalsRowFunction="count" dataDxfId="470" totalsRowDxfId="469"/>
    <tableColumn id="3" xr3:uid="{00000000-0010-0000-0600-000003000000}" name="2" totalsRowFunction="count" dataDxfId="468" totalsRowDxfId="467"/>
    <tableColumn id="4" xr3:uid="{00000000-0010-0000-0600-000004000000}" name="3" totalsRowFunction="count" dataDxfId="466" totalsRowDxfId="465"/>
    <tableColumn id="5" xr3:uid="{00000000-0010-0000-0600-000005000000}" name="4" totalsRowFunction="count" dataDxfId="464" totalsRowDxfId="463"/>
    <tableColumn id="6" xr3:uid="{00000000-0010-0000-0600-000006000000}" name="5" totalsRowFunction="count" dataDxfId="462" totalsRowDxfId="461"/>
    <tableColumn id="7" xr3:uid="{00000000-0010-0000-0600-000007000000}" name="6" totalsRowFunction="count" dataDxfId="460" totalsRowDxfId="459"/>
    <tableColumn id="8" xr3:uid="{00000000-0010-0000-0600-000008000000}" name="7" totalsRowFunction="count" dataDxfId="458" totalsRowDxfId="457"/>
    <tableColumn id="9" xr3:uid="{00000000-0010-0000-0600-000009000000}" name="8" totalsRowFunction="count" dataDxfId="456" totalsRowDxfId="455"/>
    <tableColumn id="10" xr3:uid="{00000000-0010-0000-0600-00000A000000}" name="9" totalsRowFunction="count" dataDxfId="454" totalsRowDxfId="453"/>
    <tableColumn id="11" xr3:uid="{00000000-0010-0000-0600-00000B000000}" name="10" totalsRowFunction="count" dataDxfId="452" totalsRowDxfId="451"/>
    <tableColumn id="12" xr3:uid="{00000000-0010-0000-0600-00000C000000}" name="11" totalsRowFunction="count" dataDxfId="450" totalsRowDxfId="449"/>
    <tableColumn id="13" xr3:uid="{00000000-0010-0000-0600-00000D000000}" name="12" totalsRowFunction="count" dataDxfId="448" totalsRowDxfId="447"/>
    <tableColumn id="14" xr3:uid="{00000000-0010-0000-0600-00000E000000}" name="13" totalsRowFunction="count" dataDxfId="446" totalsRowDxfId="445"/>
    <tableColumn id="15" xr3:uid="{00000000-0010-0000-0600-00000F000000}" name="14" totalsRowFunction="count" dataDxfId="444" totalsRowDxfId="443"/>
    <tableColumn id="16" xr3:uid="{00000000-0010-0000-0600-000010000000}" name="15" totalsRowFunction="count" dataDxfId="442" totalsRowDxfId="441"/>
    <tableColumn id="17" xr3:uid="{00000000-0010-0000-0600-000011000000}" name="16" totalsRowFunction="count" dataDxfId="440" totalsRowDxfId="439"/>
    <tableColumn id="18" xr3:uid="{00000000-0010-0000-0600-000012000000}" name="17" totalsRowFunction="count" dataDxfId="438" totalsRowDxfId="437"/>
    <tableColumn id="19" xr3:uid="{00000000-0010-0000-0600-000013000000}" name="18" totalsRowFunction="count" dataDxfId="436" totalsRowDxfId="435"/>
    <tableColumn id="20" xr3:uid="{00000000-0010-0000-0600-000014000000}" name="19" totalsRowFunction="count" dataDxfId="434" totalsRowDxfId="433"/>
    <tableColumn id="21" xr3:uid="{00000000-0010-0000-0600-000015000000}" name="20" totalsRowFunction="count" dataDxfId="432" totalsRowDxfId="431"/>
    <tableColumn id="22" xr3:uid="{00000000-0010-0000-0600-000016000000}" name="21" totalsRowFunction="count" dataDxfId="430" totalsRowDxfId="429"/>
    <tableColumn id="23" xr3:uid="{00000000-0010-0000-0600-000017000000}" name="22" totalsRowFunction="count" dataDxfId="428" totalsRowDxfId="427"/>
    <tableColumn id="24" xr3:uid="{00000000-0010-0000-0600-000018000000}" name="23" totalsRowFunction="count" dataDxfId="426" totalsRowDxfId="425"/>
    <tableColumn id="25" xr3:uid="{00000000-0010-0000-0600-000019000000}" name="24" totalsRowFunction="count" dataDxfId="424" totalsRowDxfId="423"/>
    <tableColumn id="26" xr3:uid="{00000000-0010-0000-0600-00001A000000}" name="25" totalsRowFunction="count" dataDxfId="422" totalsRowDxfId="421"/>
    <tableColumn id="27" xr3:uid="{00000000-0010-0000-0600-00001B000000}" name="26" totalsRowFunction="count" dataDxfId="420" totalsRowDxfId="419"/>
    <tableColumn id="28" xr3:uid="{00000000-0010-0000-0600-00001C000000}" name="27" totalsRowFunction="count" dataDxfId="418" totalsRowDxfId="417"/>
    <tableColumn id="29" xr3:uid="{00000000-0010-0000-0600-00001D000000}" name="28" totalsRowFunction="count" dataDxfId="416" totalsRowDxfId="415"/>
    <tableColumn id="30" xr3:uid="{00000000-0010-0000-0600-00001E000000}" name="29" totalsRowFunction="count" dataDxfId="414" totalsRowDxfId="413"/>
    <tableColumn id="31" xr3:uid="{00000000-0010-0000-0600-00001F000000}" name="30" totalsRowFunction="sum" dataDxfId="412" totalsRowDxfId="411"/>
    <tableColumn id="32" xr3:uid="{00000000-0010-0000-0600-000020000000}" name="31" totalsRowFunction="sum" dataDxfId="410" totalsRowDxfId="409" dataCellStyle="Total"/>
    <tableColumn id="33" xr3:uid="{00000000-0010-0000-0600-000021000000}" name="Total des jours" totalsRowFunction="sum" dataDxfId="408" totalsRowDxfId="407"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8:AH14" totalsRowCount="1" headerRowDxfId="406" dataDxfId="405" totalsRowDxfId="404">
  <tableColumns count="33">
    <tableColumn id="1" xr3:uid="{00000000-0010-0000-0700-000001000000}" name="Nom de l’employé" totalsRowFunction="custom" dataDxfId="403" totalsRowDxfId="402" dataCellStyle="Employé">
      <totalsRowFormula>NomMois&amp;" Total"</totalsRowFormula>
    </tableColumn>
    <tableColumn id="2" xr3:uid="{00000000-0010-0000-0700-000002000000}" name="1" totalsRowFunction="count" dataDxfId="401" totalsRowDxfId="400"/>
    <tableColumn id="3" xr3:uid="{00000000-0010-0000-0700-000003000000}" name="2" totalsRowFunction="count" dataDxfId="399" totalsRowDxfId="398"/>
    <tableColumn id="4" xr3:uid="{00000000-0010-0000-0700-000004000000}" name="3" totalsRowFunction="count" dataDxfId="397" totalsRowDxfId="396"/>
    <tableColumn id="5" xr3:uid="{00000000-0010-0000-0700-000005000000}" name="4" totalsRowFunction="count" dataDxfId="395" totalsRowDxfId="394"/>
    <tableColumn id="6" xr3:uid="{00000000-0010-0000-0700-000006000000}" name="5" totalsRowFunction="count" dataDxfId="393" totalsRowDxfId="392"/>
    <tableColumn id="7" xr3:uid="{00000000-0010-0000-0700-000007000000}" name="6" totalsRowFunction="count" dataDxfId="391" totalsRowDxfId="390"/>
    <tableColumn id="8" xr3:uid="{00000000-0010-0000-0700-000008000000}" name="7" totalsRowFunction="count" dataDxfId="389" totalsRowDxfId="388"/>
    <tableColumn id="9" xr3:uid="{00000000-0010-0000-0700-000009000000}" name="8" totalsRowFunction="count" dataDxfId="387" totalsRowDxfId="386"/>
    <tableColumn id="10" xr3:uid="{00000000-0010-0000-0700-00000A000000}" name="9" totalsRowFunction="count" dataDxfId="385" totalsRowDxfId="384"/>
    <tableColumn id="11" xr3:uid="{00000000-0010-0000-0700-00000B000000}" name="10" totalsRowFunction="count" dataDxfId="383" totalsRowDxfId="382"/>
    <tableColumn id="12" xr3:uid="{00000000-0010-0000-0700-00000C000000}" name="11" totalsRowFunction="count" dataDxfId="381" totalsRowDxfId="380"/>
    <tableColumn id="13" xr3:uid="{00000000-0010-0000-0700-00000D000000}" name="12" totalsRowFunction="count" dataDxfId="379" totalsRowDxfId="378"/>
    <tableColumn id="14" xr3:uid="{00000000-0010-0000-0700-00000E000000}" name="13" totalsRowFunction="count" dataDxfId="377" totalsRowDxfId="376"/>
    <tableColumn id="15" xr3:uid="{00000000-0010-0000-0700-00000F000000}" name="14" totalsRowFunction="count" dataDxfId="375" totalsRowDxfId="374"/>
    <tableColumn id="16" xr3:uid="{00000000-0010-0000-0700-000010000000}" name="15" totalsRowFunction="count" dataDxfId="373" totalsRowDxfId="372"/>
    <tableColumn id="17" xr3:uid="{00000000-0010-0000-0700-000011000000}" name="16" totalsRowFunction="count" dataDxfId="371" totalsRowDxfId="370"/>
    <tableColumn id="18" xr3:uid="{00000000-0010-0000-0700-000012000000}" name="17" totalsRowFunction="count" dataDxfId="369" totalsRowDxfId="368"/>
    <tableColumn id="19" xr3:uid="{00000000-0010-0000-0700-000013000000}" name="18" totalsRowFunction="count" dataDxfId="367" totalsRowDxfId="366"/>
    <tableColumn id="20" xr3:uid="{00000000-0010-0000-0700-000014000000}" name="19" totalsRowFunction="count" dataDxfId="365" totalsRowDxfId="364"/>
    <tableColumn id="21" xr3:uid="{00000000-0010-0000-0700-000015000000}" name="20" totalsRowFunction="count" dataDxfId="363" totalsRowDxfId="362"/>
    <tableColumn id="22" xr3:uid="{00000000-0010-0000-0700-000016000000}" name="21" totalsRowFunction="count" dataDxfId="361" totalsRowDxfId="360"/>
    <tableColumn id="23" xr3:uid="{00000000-0010-0000-0700-000017000000}" name="22" totalsRowFunction="count" dataDxfId="359" totalsRowDxfId="358"/>
    <tableColumn id="24" xr3:uid="{00000000-0010-0000-0700-000018000000}" name="23" totalsRowFunction="count" dataDxfId="357" totalsRowDxfId="356"/>
    <tableColumn id="25" xr3:uid="{00000000-0010-0000-0700-000019000000}" name="24" totalsRowFunction="count" dataDxfId="355" totalsRowDxfId="354"/>
    <tableColumn id="26" xr3:uid="{00000000-0010-0000-0700-00001A000000}" name="25" totalsRowFunction="count" dataDxfId="353" totalsRowDxfId="352"/>
    <tableColumn id="27" xr3:uid="{00000000-0010-0000-0700-00001B000000}" name="26" totalsRowFunction="count" dataDxfId="351" totalsRowDxfId="350"/>
    <tableColumn id="28" xr3:uid="{00000000-0010-0000-0700-00001C000000}" name="27" totalsRowFunction="count" dataDxfId="349" totalsRowDxfId="348"/>
    <tableColumn id="29" xr3:uid="{00000000-0010-0000-0700-00001D000000}" name="28" totalsRowFunction="count" dataDxfId="347" totalsRowDxfId="346"/>
    <tableColumn id="30" xr3:uid="{00000000-0010-0000-0700-00001E000000}" name="29" totalsRowFunction="count" dataDxfId="345" totalsRowDxfId="344"/>
    <tableColumn id="31" xr3:uid="{00000000-0010-0000-0700-00001F000000}" name="30" totalsRowFunction="sum" dataDxfId="343" totalsRowDxfId="342"/>
    <tableColumn id="32" xr3:uid="{00000000-0010-0000-0700-000020000000}" name="31" totalsRowFunction="sum" dataDxfId="341" totalsRowDxfId="340" dataCellStyle="Total"/>
    <tableColumn id="33" xr3:uid="{00000000-0010-0000-0700-000021000000}" name="Total des jours" totalsRowFunction="sum" dataDxfId="339" totalsRowDxfId="338" dataCellStyle="Total">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8:AH14" totalsRowCount="1" headerRowDxfId="337" dataDxfId="336" totalsRowDxfId="335">
  <tableColumns count="33">
    <tableColumn id="1" xr3:uid="{00000000-0010-0000-0800-000001000000}" name="Nom de l’employé" totalsRowFunction="custom" dataDxfId="334" totalsRowDxfId="333" dataCellStyle="Employé">
      <totalsRowFormula>NomMois&amp;" Total"</totalsRowFormula>
    </tableColumn>
    <tableColumn id="2" xr3:uid="{00000000-0010-0000-0800-000002000000}" name="1" totalsRowFunction="count" dataDxfId="332" totalsRowDxfId="331"/>
    <tableColumn id="3" xr3:uid="{00000000-0010-0000-0800-000003000000}" name="2" totalsRowFunction="count" dataDxfId="330" totalsRowDxfId="329"/>
    <tableColumn id="4" xr3:uid="{00000000-0010-0000-0800-000004000000}" name="3" totalsRowFunction="count" dataDxfId="328" totalsRowDxfId="327"/>
    <tableColumn id="5" xr3:uid="{00000000-0010-0000-0800-000005000000}" name="4" totalsRowFunction="count" dataDxfId="326" totalsRowDxfId="325"/>
    <tableColumn id="6" xr3:uid="{00000000-0010-0000-0800-000006000000}" name="5" totalsRowFunction="count" dataDxfId="324" totalsRowDxfId="323"/>
    <tableColumn id="7" xr3:uid="{00000000-0010-0000-0800-000007000000}" name="6" totalsRowFunction="count" dataDxfId="322" totalsRowDxfId="321"/>
    <tableColumn id="8" xr3:uid="{00000000-0010-0000-0800-000008000000}" name="7" totalsRowFunction="count" dataDxfId="320" totalsRowDxfId="319"/>
    <tableColumn id="9" xr3:uid="{00000000-0010-0000-0800-000009000000}" name="8" totalsRowFunction="count" dataDxfId="318" totalsRowDxfId="317"/>
    <tableColumn id="10" xr3:uid="{00000000-0010-0000-0800-00000A000000}" name="9" totalsRowFunction="count" dataDxfId="316" totalsRowDxfId="315"/>
    <tableColumn id="11" xr3:uid="{00000000-0010-0000-0800-00000B000000}" name="10" totalsRowFunction="count" dataDxfId="314" totalsRowDxfId="313"/>
    <tableColumn id="12" xr3:uid="{00000000-0010-0000-0800-00000C000000}" name="11" totalsRowFunction="count" dataDxfId="312" totalsRowDxfId="311"/>
    <tableColumn id="13" xr3:uid="{00000000-0010-0000-0800-00000D000000}" name="12" totalsRowFunction="count" dataDxfId="310" totalsRowDxfId="309"/>
    <tableColumn id="14" xr3:uid="{00000000-0010-0000-0800-00000E000000}" name="13" totalsRowFunction="count" dataDxfId="308" totalsRowDxfId="307"/>
    <tableColumn id="15" xr3:uid="{00000000-0010-0000-0800-00000F000000}" name="14" totalsRowFunction="count" dataDxfId="306" totalsRowDxfId="305"/>
    <tableColumn id="16" xr3:uid="{00000000-0010-0000-0800-000010000000}" name="15" totalsRowFunction="count" dataDxfId="304" totalsRowDxfId="303"/>
    <tableColumn id="17" xr3:uid="{00000000-0010-0000-0800-000011000000}" name="16" totalsRowFunction="count" dataDxfId="302" totalsRowDxfId="301"/>
    <tableColumn id="18" xr3:uid="{00000000-0010-0000-0800-000012000000}" name="17" totalsRowFunction="count" dataDxfId="300" totalsRowDxfId="299"/>
    <tableColumn id="19" xr3:uid="{00000000-0010-0000-0800-000013000000}" name="18" totalsRowFunction="count" dataDxfId="298" totalsRowDxfId="297"/>
    <tableColumn id="20" xr3:uid="{00000000-0010-0000-0800-000014000000}" name="19" totalsRowFunction="count" dataDxfId="296" totalsRowDxfId="295"/>
    <tableColumn id="21" xr3:uid="{00000000-0010-0000-0800-000015000000}" name="20" totalsRowFunction="count" dataDxfId="294" totalsRowDxfId="293"/>
    <tableColumn id="22" xr3:uid="{00000000-0010-0000-0800-000016000000}" name="21" totalsRowFunction="count" dataDxfId="292" totalsRowDxfId="291"/>
    <tableColumn id="23" xr3:uid="{00000000-0010-0000-0800-000017000000}" name="22" totalsRowFunction="count" dataDxfId="290" totalsRowDxfId="289"/>
    <tableColumn id="24" xr3:uid="{00000000-0010-0000-0800-000018000000}" name="23" totalsRowFunction="count" dataDxfId="288" totalsRowDxfId="287"/>
    <tableColumn id="25" xr3:uid="{00000000-0010-0000-0800-000019000000}" name="24" totalsRowFunction="count" dataDxfId="286" totalsRowDxfId="285"/>
    <tableColumn id="26" xr3:uid="{00000000-0010-0000-0800-00001A000000}" name="25" totalsRowFunction="count" dataDxfId="284" totalsRowDxfId="283"/>
    <tableColumn id="27" xr3:uid="{00000000-0010-0000-0800-00001B000000}" name="26" totalsRowFunction="count" dataDxfId="282" totalsRowDxfId="281"/>
    <tableColumn id="28" xr3:uid="{00000000-0010-0000-0800-00001C000000}" name="27" totalsRowFunction="count" dataDxfId="280" totalsRowDxfId="279"/>
    <tableColumn id="29" xr3:uid="{00000000-0010-0000-0800-00001D000000}" name="28" totalsRowFunction="count" dataDxfId="278" totalsRowDxfId="277"/>
    <tableColumn id="30" xr3:uid="{00000000-0010-0000-0800-00001E000000}" name="29" totalsRowFunction="count" dataDxfId="276" totalsRowDxfId="275"/>
    <tableColumn id="31" xr3:uid="{00000000-0010-0000-0800-00001F000000}" name="30" totalsRowFunction="sum" dataDxfId="274" totalsRowDxfId="273"/>
    <tableColumn id="32" xr3:uid="{00000000-0010-0000-0800-000020000000}" name=" " totalsRowFunction="sum" dataDxfId="272" totalsRowDxfId="271" dataCellStyle="Total"/>
    <tableColumn id="33" xr3:uid="{00000000-0010-0000-0800-000021000000}" name="Total des jours" totalsRowFunction="sum" dataDxfId="270" totalsRowDxfId="269" dataCellStyle="Total">
      <calculatedColumnFormula>COUNTA(Septembre[[#This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8:AH14" totalsRowCount="1" headerRowDxfId="268" dataDxfId="267" totalsRowDxfId="266">
  <tableColumns count="33">
    <tableColumn id="1" xr3:uid="{00000000-0010-0000-0900-000001000000}" name="Nom de l’employé" totalsRowFunction="custom" dataDxfId="265" totalsRowDxfId="264" dataCellStyle="Employé">
      <totalsRowFormula>NomMois&amp;" Total"</totalsRowFormula>
    </tableColumn>
    <tableColumn id="2" xr3:uid="{00000000-0010-0000-0900-000002000000}" name="1" totalsRowFunction="count" dataDxfId="263" totalsRowDxfId="262"/>
    <tableColumn id="3" xr3:uid="{00000000-0010-0000-0900-000003000000}" name="2" totalsRowFunction="count" dataDxfId="261" totalsRowDxfId="260"/>
    <tableColumn id="4" xr3:uid="{00000000-0010-0000-0900-000004000000}" name="3" totalsRowFunction="count" dataDxfId="259" totalsRowDxfId="258"/>
    <tableColumn id="5" xr3:uid="{00000000-0010-0000-0900-000005000000}" name="4" totalsRowFunction="count" dataDxfId="257" totalsRowDxfId="256"/>
    <tableColumn id="6" xr3:uid="{00000000-0010-0000-0900-000006000000}" name="5" totalsRowFunction="count" dataDxfId="255" totalsRowDxfId="254"/>
    <tableColumn id="7" xr3:uid="{00000000-0010-0000-0900-000007000000}" name="6" totalsRowFunction="count" dataDxfId="253" totalsRowDxfId="252"/>
    <tableColumn id="8" xr3:uid="{00000000-0010-0000-0900-000008000000}" name="7" totalsRowFunction="count" dataDxfId="251" totalsRowDxfId="250"/>
    <tableColumn id="9" xr3:uid="{00000000-0010-0000-0900-000009000000}" name="8" totalsRowFunction="count" dataDxfId="249" totalsRowDxfId="248"/>
    <tableColumn id="10" xr3:uid="{00000000-0010-0000-0900-00000A000000}" name="9" totalsRowFunction="count" dataDxfId="247" totalsRowDxfId="246"/>
    <tableColumn id="11" xr3:uid="{00000000-0010-0000-0900-00000B000000}" name="10" totalsRowFunction="count" dataDxfId="245" totalsRowDxfId="244"/>
    <tableColumn id="12" xr3:uid="{00000000-0010-0000-0900-00000C000000}" name="11" totalsRowFunction="count" dataDxfId="243" totalsRowDxfId="242"/>
    <tableColumn id="13" xr3:uid="{00000000-0010-0000-0900-00000D000000}" name="12" totalsRowFunction="count" dataDxfId="241" totalsRowDxfId="240"/>
    <tableColumn id="14" xr3:uid="{00000000-0010-0000-0900-00000E000000}" name="13" totalsRowFunction="count" dataDxfId="239" totalsRowDxfId="238"/>
    <tableColumn id="15" xr3:uid="{00000000-0010-0000-0900-00000F000000}" name="14" totalsRowFunction="count" dataDxfId="237" totalsRowDxfId="236"/>
    <tableColumn id="16" xr3:uid="{00000000-0010-0000-0900-000010000000}" name="15" totalsRowFunction="count" dataDxfId="235" totalsRowDxfId="234"/>
    <tableColumn id="17" xr3:uid="{00000000-0010-0000-0900-000011000000}" name="16" totalsRowFunction="count" dataDxfId="233" totalsRowDxfId="232"/>
    <tableColumn id="18" xr3:uid="{00000000-0010-0000-0900-000012000000}" name="17" totalsRowFunction="count" dataDxfId="231" totalsRowDxfId="230"/>
    <tableColumn id="19" xr3:uid="{00000000-0010-0000-0900-000013000000}" name="18" totalsRowFunction="count" dataDxfId="229" totalsRowDxfId="228"/>
    <tableColumn id="20" xr3:uid="{00000000-0010-0000-0900-000014000000}" name="19" totalsRowFunction="count" dataDxfId="227" totalsRowDxfId="226"/>
    <tableColumn id="21" xr3:uid="{00000000-0010-0000-0900-000015000000}" name="20" totalsRowFunction="count" dataDxfId="225" totalsRowDxfId="224"/>
    <tableColumn id="22" xr3:uid="{00000000-0010-0000-0900-000016000000}" name="21" totalsRowFunction="count" dataDxfId="223" totalsRowDxfId="222"/>
    <tableColumn id="23" xr3:uid="{00000000-0010-0000-0900-000017000000}" name="22" totalsRowFunction="count" dataDxfId="221" totalsRowDxfId="220"/>
    <tableColumn id="24" xr3:uid="{00000000-0010-0000-0900-000018000000}" name="23" totalsRowFunction="count" dataDxfId="219" totalsRowDxfId="218"/>
    <tableColumn id="25" xr3:uid="{00000000-0010-0000-0900-000019000000}" name="24" totalsRowFunction="count" dataDxfId="217" totalsRowDxfId="216"/>
    <tableColumn id="26" xr3:uid="{00000000-0010-0000-0900-00001A000000}" name="25" totalsRowFunction="count" dataDxfId="215" totalsRowDxfId="214"/>
    <tableColumn id="27" xr3:uid="{00000000-0010-0000-0900-00001B000000}" name="26" totalsRowFunction="count" dataDxfId="213" totalsRowDxfId="212"/>
    <tableColumn id="28" xr3:uid="{00000000-0010-0000-0900-00001C000000}" name="27" totalsRowFunction="count" dataDxfId="211" totalsRowDxfId="210"/>
    <tableColumn id="29" xr3:uid="{00000000-0010-0000-0900-00001D000000}" name="28" totalsRowFunction="count" dataDxfId="209" totalsRowDxfId="208"/>
    <tableColumn id="30" xr3:uid="{00000000-0010-0000-0900-00001E000000}" name="29" totalsRowFunction="count" dataDxfId="207" totalsRowDxfId="206"/>
    <tableColumn id="31" xr3:uid="{00000000-0010-0000-0900-00001F000000}" name="30" totalsRowFunction="sum" dataDxfId="205" totalsRowDxfId="204"/>
    <tableColumn id="32" xr3:uid="{00000000-0010-0000-0900-000020000000}" name="31" totalsRowFunction="sum" dataDxfId="203" totalsRowDxfId="202" dataCellStyle="Total"/>
    <tableColumn id="33" xr3:uid="{00000000-0010-0000-0900-000021000000}" name="Total des jours" totalsRowFunction="sum" dataDxfId="201" totalsRowDxfId="200"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8:AH14" totalsRowCount="1" headerRowDxfId="199" dataDxfId="198" totalsRowDxfId="197">
  <tableColumns count="33">
    <tableColumn id="1" xr3:uid="{00000000-0010-0000-0A00-000001000000}" name="Nom de l’employé" totalsRowFunction="custom" dataDxfId="196" totalsRowDxfId="195" dataCellStyle="Employé">
      <totalsRowFormula>NomMois&amp;" Total"</totalsRowFormula>
    </tableColumn>
    <tableColumn id="2" xr3:uid="{00000000-0010-0000-0A00-000002000000}" name="1" totalsRowFunction="count" dataDxfId="194" totalsRowDxfId="193"/>
    <tableColumn id="3" xr3:uid="{00000000-0010-0000-0A00-000003000000}" name="2" totalsRowFunction="count" dataDxfId="192" totalsRowDxfId="191"/>
    <tableColumn id="4" xr3:uid="{00000000-0010-0000-0A00-000004000000}" name="3" totalsRowFunction="count" dataDxfId="190" totalsRowDxfId="189"/>
    <tableColumn id="5" xr3:uid="{00000000-0010-0000-0A00-000005000000}" name="4" totalsRowFunction="count" dataDxfId="188" totalsRowDxfId="187"/>
    <tableColumn id="6" xr3:uid="{00000000-0010-0000-0A00-000006000000}" name="5" totalsRowFunction="count" dataDxfId="186" totalsRowDxfId="185"/>
    <tableColumn id="7" xr3:uid="{00000000-0010-0000-0A00-000007000000}" name="6" totalsRowFunction="count" dataDxfId="184" totalsRowDxfId="183"/>
    <tableColumn id="8" xr3:uid="{00000000-0010-0000-0A00-000008000000}" name="7" totalsRowFunction="count" dataDxfId="182" totalsRowDxfId="181"/>
    <tableColumn id="9" xr3:uid="{00000000-0010-0000-0A00-000009000000}" name="8" totalsRowFunction="count" dataDxfId="180" totalsRowDxfId="179"/>
    <tableColumn id="10" xr3:uid="{00000000-0010-0000-0A00-00000A000000}" name="9" totalsRowFunction="count" dataDxfId="178" totalsRowDxfId="177"/>
    <tableColumn id="11" xr3:uid="{00000000-0010-0000-0A00-00000B000000}" name="10" totalsRowFunction="count" dataDxfId="176" totalsRowDxfId="175"/>
    <tableColumn id="12" xr3:uid="{00000000-0010-0000-0A00-00000C000000}" name="11" totalsRowFunction="count" dataDxfId="174" totalsRowDxfId="173"/>
    <tableColumn id="13" xr3:uid="{00000000-0010-0000-0A00-00000D000000}" name="12" totalsRowFunction="count" dataDxfId="172" totalsRowDxfId="171"/>
    <tableColumn id="14" xr3:uid="{00000000-0010-0000-0A00-00000E000000}" name="13" totalsRowFunction="count" dataDxfId="170" totalsRowDxfId="169"/>
    <tableColumn id="15" xr3:uid="{00000000-0010-0000-0A00-00000F000000}" name="14" totalsRowFunction="count" dataDxfId="168" totalsRowDxfId="167"/>
    <tableColumn id="16" xr3:uid="{00000000-0010-0000-0A00-000010000000}" name="15" totalsRowFunction="count" dataDxfId="166" totalsRowDxfId="165"/>
    <tableColumn id="17" xr3:uid="{00000000-0010-0000-0A00-000011000000}" name="16" totalsRowFunction="count" dataDxfId="164" totalsRowDxfId="163"/>
    <tableColumn id="18" xr3:uid="{00000000-0010-0000-0A00-000012000000}" name="17" totalsRowFunction="count" dataDxfId="162" totalsRowDxfId="161"/>
    <tableColumn id="19" xr3:uid="{00000000-0010-0000-0A00-000013000000}" name="18" totalsRowFunction="count" dataDxfId="160" totalsRowDxfId="159"/>
    <tableColumn id="20" xr3:uid="{00000000-0010-0000-0A00-000014000000}" name="19" totalsRowFunction="count" dataDxfId="158" totalsRowDxfId="157"/>
    <tableColumn id="21" xr3:uid="{00000000-0010-0000-0A00-000015000000}" name="20" totalsRowFunction="count" dataDxfId="156" totalsRowDxfId="155"/>
    <tableColumn id="22" xr3:uid="{00000000-0010-0000-0A00-000016000000}" name="21" totalsRowFunction="count" dataDxfId="154" totalsRowDxfId="153"/>
    <tableColumn id="23" xr3:uid="{00000000-0010-0000-0A00-000017000000}" name="22" totalsRowFunction="count" dataDxfId="152" totalsRowDxfId="151"/>
    <tableColumn id="24" xr3:uid="{00000000-0010-0000-0A00-000018000000}" name="23" totalsRowFunction="count" dataDxfId="150" totalsRowDxfId="149"/>
    <tableColumn id="25" xr3:uid="{00000000-0010-0000-0A00-000019000000}" name="24" totalsRowFunction="count" dataDxfId="148" totalsRowDxfId="147"/>
    <tableColumn id="26" xr3:uid="{00000000-0010-0000-0A00-00001A000000}" name="25" totalsRowFunction="count" dataDxfId="146" totalsRowDxfId="145"/>
    <tableColumn id="27" xr3:uid="{00000000-0010-0000-0A00-00001B000000}" name="26" totalsRowFunction="count" dataDxfId="144" totalsRowDxfId="143"/>
    <tableColumn id="28" xr3:uid="{00000000-0010-0000-0A00-00001C000000}" name="27" totalsRowFunction="count" dataDxfId="142" totalsRowDxfId="141"/>
    <tableColumn id="29" xr3:uid="{00000000-0010-0000-0A00-00001D000000}" name="28" totalsRowFunction="count" dataDxfId="140" totalsRowDxfId="139"/>
    <tableColumn id="30" xr3:uid="{00000000-0010-0000-0A00-00001E000000}" name="29" totalsRowFunction="count" dataDxfId="138" totalsRowDxfId="137"/>
    <tableColumn id="31" xr3:uid="{00000000-0010-0000-0A00-00001F000000}" name="30" totalsRowFunction="sum" dataDxfId="136" totalsRowDxfId="135"/>
    <tableColumn id="32" xr3:uid="{00000000-0010-0000-0A00-000020000000}" name=" " totalsRowFunction="sum" dataDxfId="134" totalsRowDxfId="133" dataCellStyle="Total"/>
    <tableColumn id="33" xr3:uid="{00000000-0010-0000-0A00-000021000000}" name="Total des jours" totalsRowFunction="sum" dataDxfId="132" totalsRowDxfId="131" dataCellStyle="Total">
      <calculatedColumnFormula>COUNTA(Novembre[[#This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8:AH14" totalsRowCount="1" headerRowDxfId="130" dataDxfId="129" totalsRowDxfId="128">
  <tableColumns count="33">
    <tableColumn id="1" xr3:uid="{00000000-0010-0000-0B00-000001000000}" name="Nom de l’employé" totalsRowFunction="custom" dataDxfId="127" totalsRowDxfId="126" dataCellStyle="Employé">
      <totalsRowFormula>NomMois&amp;" Total"</totalsRowFormula>
    </tableColumn>
    <tableColumn id="2" xr3:uid="{00000000-0010-0000-0B00-000002000000}" name="1" totalsRowFunction="count" dataDxfId="125" totalsRowDxfId="124"/>
    <tableColumn id="3" xr3:uid="{00000000-0010-0000-0B00-000003000000}" name="2" totalsRowFunction="count" dataDxfId="123" totalsRowDxfId="122"/>
    <tableColumn id="4" xr3:uid="{00000000-0010-0000-0B00-000004000000}" name="3" totalsRowFunction="count" dataDxfId="121" totalsRowDxfId="120"/>
    <tableColumn id="5" xr3:uid="{00000000-0010-0000-0B00-000005000000}" name="4" totalsRowFunction="count" dataDxfId="119" totalsRowDxfId="118"/>
    <tableColumn id="6" xr3:uid="{00000000-0010-0000-0B00-000006000000}" name="5" totalsRowFunction="count" dataDxfId="117" totalsRowDxfId="116"/>
    <tableColumn id="7" xr3:uid="{00000000-0010-0000-0B00-000007000000}" name="6" totalsRowFunction="count" dataDxfId="115" totalsRowDxfId="114"/>
    <tableColumn id="8" xr3:uid="{00000000-0010-0000-0B00-000008000000}" name="7" totalsRowFunction="count" dataDxfId="113" totalsRowDxfId="112"/>
    <tableColumn id="9" xr3:uid="{00000000-0010-0000-0B00-000009000000}" name="8" totalsRowFunction="count" dataDxfId="111" totalsRowDxfId="110"/>
    <tableColumn id="10" xr3:uid="{00000000-0010-0000-0B00-00000A000000}" name="9" totalsRowFunction="count" dataDxfId="109" totalsRowDxfId="108"/>
    <tableColumn id="11" xr3:uid="{00000000-0010-0000-0B00-00000B000000}" name="10" totalsRowFunction="count" dataDxfId="107" totalsRowDxfId="106"/>
    <tableColumn id="12" xr3:uid="{00000000-0010-0000-0B00-00000C000000}" name="11" totalsRowFunction="count" dataDxfId="105" totalsRowDxfId="104"/>
    <tableColumn id="13" xr3:uid="{00000000-0010-0000-0B00-00000D000000}" name="12" totalsRowFunction="count" dataDxfId="103" totalsRowDxfId="102"/>
    <tableColumn id="14" xr3:uid="{00000000-0010-0000-0B00-00000E000000}" name="13" totalsRowFunction="count" dataDxfId="101" totalsRowDxfId="100"/>
    <tableColumn id="15" xr3:uid="{00000000-0010-0000-0B00-00000F000000}" name="14" totalsRowFunction="count" dataDxfId="99" totalsRowDxfId="98"/>
    <tableColumn id="16" xr3:uid="{00000000-0010-0000-0B00-000010000000}" name="15" totalsRowFunction="count" dataDxfId="97" totalsRowDxfId="96"/>
    <tableColumn id="17" xr3:uid="{00000000-0010-0000-0B00-000011000000}" name="16" totalsRowFunction="count" dataDxfId="95" totalsRowDxfId="94"/>
    <tableColumn id="18" xr3:uid="{00000000-0010-0000-0B00-000012000000}" name="17" totalsRowFunction="count" dataDxfId="93" totalsRowDxfId="92"/>
    <tableColumn id="19" xr3:uid="{00000000-0010-0000-0B00-000013000000}" name="18" totalsRowFunction="count" dataDxfId="91" totalsRowDxfId="90"/>
    <tableColumn id="20" xr3:uid="{00000000-0010-0000-0B00-000014000000}" name="19" totalsRowFunction="count" dataDxfId="89" totalsRowDxfId="88"/>
    <tableColumn id="21" xr3:uid="{00000000-0010-0000-0B00-000015000000}" name="20" totalsRowFunction="count" dataDxfId="87" totalsRowDxfId="86"/>
    <tableColumn id="22" xr3:uid="{00000000-0010-0000-0B00-000016000000}" name="21" totalsRowFunction="count" dataDxfId="85" totalsRowDxfId="84"/>
    <tableColumn id="23" xr3:uid="{00000000-0010-0000-0B00-000017000000}" name="22" totalsRowFunction="count" dataDxfId="83" totalsRowDxfId="82"/>
    <tableColumn id="24" xr3:uid="{00000000-0010-0000-0B00-000018000000}" name="23" totalsRowFunction="count" dataDxfId="81" totalsRowDxfId="80"/>
    <tableColumn id="25" xr3:uid="{00000000-0010-0000-0B00-000019000000}" name="24" totalsRowFunction="count" dataDxfId="79" totalsRowDxfId="78"/>
    <tableColumn id="26" xr3:uid="{00000000-0010-0000-0B00-00001A000000}" name="25" totalsRowFunction="count" dataDxfId="77" totalsRowDxfId="76"/>
    <tableColumn id="27" xr3:uid="{00000000-0010-0000-0B00-00001B000000}" name="26" totalsRowFunction="count" dataDxfId="75" totalsRowDxfId="74"/>
    <tableColumn id="28" xr3:uid="{00000000-0010-0000-0B00-00001C000000}" name="27" totalsRowFunction="count" dataDxfId="73" totalsRowDxfId="72"/>
    <tableColumn id="29" xr3:uid="{00000000-0010-0000-0B00-00001D000000}" name="28" totalsRowFunction="count" dataDxfId="71" totalsRowDxfId="70"/>
    <tableColumn id="30" xr3:uid="{00000000-0010-0000-0B00-00001E000000}" name="29" totalsRowFunction="count" dataDxfId="69" totalsRowDxfId="68"/>
    <tableColumn id="31" xr3:uid="{00000000-0010-0000-0B00-00001F000000}" name="30" totalsRowFunction="sum" dataDxfId="67" totalsRowDxfId="66"/>
    <tableColumn id="32" xr3:uid="{00000000-0010-0000-0B00-000020000000}" name="31" totalsRowFunction="sum" dataDxfId="65" totalsRowDxfId="64" dataCellStyle="Total"/>
    <tableColumn id="33" xr3:uid="{00000000-0010-0000-0B00-000021000000}" name="Total des jours" totalsRowFunction="sum" dataDxfId="63" totalsRowDxfId="62"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totalsRowShown="0">
  <autoFilter ref="B3:B8" xr:uid="{00000000-0009-0000-0100-00000D000000}"/>
  <tableColumns count="1">
    <tableColumn id="1" xr3:uid="{00000000-0010-0000-0C00-000001000000}" name="Noms des employés"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Concis">
  <a:themeElements>
    <a:clrScheme name="Concis">
      <a:dk1>
        <a:sysClr val="windowText" lastClr="000000"/>
      </a:dk1>
      <a:lt1>
        <a:sysClr val="window" lastClr="FFFFFF"/>
      </a:lt1>
      <a:dk2>
        <a:srgbClr val="212121"/>
      </a:dk2>
      <a:lt2>
        <a:srgbClr val="636363"/>
      </a:lt2>
      <a:accent1>
        <a:srgbClr val="00C6BB"/>
      </a:accent1>
      <a:accent2>
        <a:srgbClr val="6FEBA0"/>
      </a:accent2>
      <a:accent3>
        <a:srgbClr val="B6DF5E"/>
      </a:accent3>
      <a:accent4>
        <a:srgbClr val="EFB251"/>
      </a:accent4>
      <a:accent5>
        <a:srgbClr val="EF755F"/>
      </a:accent5>
      <a:accent6>
        <a:srgbClr val="ED515C"/>
      </a:accent6>
      <a:hlink>
        <a:srgbClr val="8F8F8F"/>
      </a:hlink>
      <a:folHlink>
        <a:srgbClr val="A5A5A5"/>
      </a:folHlink>
    </a:clrScheme>
    <a:fontScheme name="Concis">
      <a:majorFont>
        <a:latin typeface="Century Gothic" panose="020B0502020202020204"/>
        <a:ea typeface=""/>
        <a:cs typeface=""/>
        <a:font script="Jpan" typeface="ＭＳ ゴシック"/>
        <a:font script="Hang" typeface="맑은 고딕"/>
        <a:font script="Hans" typeface="宋体"/>
        <a:font script="Hant" typeface="新細明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ＭＳ ゴシック"/>
        <a:font script="Hang" typeface="맑은 고딕"/>
        <a:font script="Hans" typeface="宋体"/>
        <a:font script="Hant" typeface="新細明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font script="Geor" typeface="Sylfaen"/>
      </a:minorFont>
    </a:fontScheme>
    <a:fmtScheme name="Concis">
      <a:fillStyleLst>
        <a:solidFill>
          <a:schemeClr val="phClr"/>
        </a:solidFill>
        <a:gradFill rotWithShape="1">
          <a:gsLst>
            <a:gs pos="0">
              <a:schemeClr val="phClr">
                <a:tint val="80000"/>
                <a:lumMod val="105000"/>
              </a:schemeClr>
            </a:gs>
            <a:gs pos="100000">
              <a:schemeClr val="phClr">
                <a:tint val="90000"/>
              </a:schemeClr>
            </a:gs>
          </a:gsLst>
          <a:lin ang="5400000" scaled="0"/>
        </a:gradFill>
        <a:blipFill rotWithShape="1">
          <a:blip xmlns:r="http://schemas.openxmlformats.org/officeDocument/2006/relationships" r:embed="rId1">
            <a:duotone>
              <a:schemeClr val="phClr">
                <a:tint val="98000"/>
                <a:lumMod val="102000"/>
              </a:schemeClr>
              <a:schemeClr val="phClr">
                <a:shade val="98000"/>
                <a:lumMod val="98000"/>
              </a:schemeClr>
            </a:duotone>
          </a:blip>
          <a:tile tx="0" ty="0" sx="100000" sy="100000" flip="none" algn="tl"/>
        </a:blipFill>
      </a:fillStyleLst>
      <a:lnStyleLst>
        <a:ln w="9525" cap="rnd" cmpd="sng" algn="ctr">
          <a:solidFill>
            <a:schemeClr val="phClr"/>
          </a:solidFill>
          <a:prstDash val="solid"/>
        </a:ln>
        <a:ln w="15875" cap="rnd" cmpd="sng" algn="ctr">
          <a:solidFill>
            <a:schemeClr val="phClr"/>
          </a:solidFill>
          <a:prstDash val="solid"/>
        </a:ln>
        <a:ln w="25400" cap="rnd" cmpd="sng" algn="ctr">
          <a:solidFill>
            <a:schemeClr val="phClr"/>
          </a:solidFill>
          <a:prstDash val="solid"/>
        </a:ln>
      </a:lnStyleLst>
      <a:effectStyleLst>
        <a:effectStyle>
          <a:effectLst/>
        </a:effectStyle>
        <a:effectStyle>
          <a:effectLst/>
        </a:effectStyle>
        <a:effectStyle>
          <a:effectLst>
            <a:innerShdw blurRad="63500" dist="25400" dir="13500000">
              <a:srgbClr val="000000">
                <a:alpha val="75000"/>
              </a:srgbClr>
            </a:innerShdw>
          </a:effectLst>
        </a:effectStyle>
      </a:effectStyleLst>
      <a:bgFillStyleLst>
        <a:solidFill>
          <a:schemeClr val="phClr"/>
        </a:solidFill>
        <a:gradFill rotWithShape="1">
          <a:gsLst>
            <a:gs pos="0">
              <a:schemeClr val="phClr">
                <a:tint val="100000"/>
              </a:schemeClr>
            </a:gs>
            <a:gs pos="100000">
              <a:schemeClr val="phClr">
                <a:tint val="84000"/>
                <a:shade val="84000"/>
                <a:lumMod val="90000"/>
              </a:schemeClr>
            </a:gs>
          </a:gsLst>
          <a:lin ang="5400000" scaled="0"/>
        </a:gradFill>
        <a:gradFill rotWithShape="1">
          <a:gsLst>
            <a:gs pos="0">
              <a:schemeClr val="phClr">
                <a:tint val="84000"/>
                <a:shade val="90000"/>
                <a:satMod val="120000"/>
                <a:lumMod val="90000"/>
              </a:schemeClr>
            </a:gs>
            <a:gs pos="100000">
              <a:schemeClr val="phClr"/>
            </a:gs>
          </a:gsLst>
          <a:lin ang="5400000" scaled="0"/>
        </a:gradFill>
      </a:bgFillStyleLst>
    </a:fmtScheme>
  </a:themeElements>
  <a:objectDefaults/>
  <a:extraClrSchemeLst/>
  <a:extLst>
    <a:ext uri="{05A4C25C-085E-4340-85A3-A5531E510DB2}">
      <thm15:themeFamily xmlns:thm15="http://schemas.microsoft.com/office/thememl/2012/main" name="Quotable" id="{39EC5628-30ED-4578-ACD8-9820EDB8E15A}" vid="{6F3559E9-1A4C-49D8-94D4-F41003531C49}"/>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6" tint="0.39997558519241921"/>
  </sheetPr>
  <dimension ref="A1:AH14"/>
  <sheetViews>
    <sheetView showGridLines="0" tabSelected="1" zoomScaleNormal="100" workbookViewId="0">
      <selection activeCell="I2" sqref="I2"/>
    </sheetView>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1:34" s="15" customFormat="1" ht="50.1" customHeight="1">
      <c r="A1" s="14"/>
      <c r="B1" s="26" t="s">
        <v>0</v>
      </c>
    </row>
    <row r="2" spans="1:34" s="15" customFormat="1" ht="100.35" customHeight="1">
      <c r="A2"/>
      <c r="B2" s="25" t="s">
        <v>1</v>
      </c>
    </row>
    <row r="3" spans="1:34" s="15" customFormat="1" ht="15" customHeight="1">
      <c r="A3"/>
      <c r="B3" s="10"/>
      <c r="C3" s="16"/>
      <c r="D3" s="16"/>
      <c r="E3" s="16"/>
      <c r="F3" s="16"/>
      <c r="G3" s="16"/>
      <c r="H3" s="16"/>
      <c r="I3" s="16"/>
      <c r="J3" s="16"/>
      <c r="K3" s="16"/>
      <c r="L3" s="16"/>
      <c r="M3" s="16"/>
      <c r="N3" s="16"/>
      <c r="O3" s="16"/>
      <c r="P3" s="16"/>
      <c r="Q3" s="16"/>
      <c r="R3" s="16"/>
      <c r="S3" s="16"/>
      <c r="T3" s="16"/>
      <c r="U3" s="16"/>
      <c r="V3" s="16"/>
      <c r="W3" s="16"/>
      <c r="X3" s="16"/>
      <c r="Y3" s="16"/>
      <c r="Z3" s="16"/>
      <c r="AA3" s="16"/>
      <c r="AB3" s="16"/>
      <c r="AC3" s="16"/>
      <c r="AD3" s="16"/>
      <c r="AE3" s="16"/>
      <c r="AF3" s="16"/>
      <c r="AG3" s="16"/>
      <c r="AH3" s="16"/>
    </row>
    <row r="4" spans="1:34" ht="30" customHeight="1">
      <c r="B4" s="8" t="s">
        <v>2</v>
      </c>
      <c r="C4" s="38"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1:34" ht="15" customHeight="1">
      <c r="B5" s="17"/>
      <c r="C5" s="17"/>
      <c r="D5" s="17"/>
      <c r="E5" s="17"/>
      <c r="F5" s="17"/>
      <c r="G5" s="17"/>
      <c r="H5" s="17"/>
      <c r="I5" s="17"/>
      <c r="J5" s="17"/>
      <c r="K5" s="17"/>
      <c r="L5" s="17"/>
      <c r="M5" s="17"/>
      <c r="N5" s="17"/>
      <c r="O5" s="17"/>
      <c r="P5" s="17"/>
      <c r="Q5" s="17"/>
      <c r="R5" s="17"/>
      <c r="S5" s="17"/>
      <c r="T5" s="17"/>
      <c r="U5" s="17"/>
      <c r="V5" s="17"/>
      <c r="W5" s="17"/>
      <c r="X5" s="17"/>
      <c r="Y5" s="17"/>
      <c r="Z5" s="17"/>
      <c r="AA5" s="17"/>
      <c r="AB5" s="17"/>
      <c r="AC5" s="17"/>
      <c r="AD5" s="17"/>
      <c r="AE5" s="17"/>
      <c r="AF5" s="17"/>
      <c r="AG5" s="17"/>
      <c r="AH5" s="18"/>
    </row>
    <row r="6" spans="1: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v>2023</v>
      </c>
    </row>
    <row r="7" spans="1:34" ht="30" customHeight="1">
      <c r="B7" s="7"/>
      <c r="C7" s="23" t="str">
        <f>TEXT(WEEKDAY(DATE(CalendarYear,1,1),1),"jjj")</f>
        <v>dim</v>
      </c>
      <c r="D7" s="23" t="str">
        <f>TEXT(WEEKDAY(DATE(CalendarYear,1,2),1),"jjj")</f>
        <v>lun</v>
      </c>
      <c r="E7" s="23" t="str">
        <f>TEXT(WEEKDAY(DATE(CalendarYear,1,3),1),"jjj")</f>
        <v>mar</v>
      </c>
      <c r="F7" s="23" t="str">
        <f>TEXT(WEEKDAY(DATE(CalendarYear,1,4),1),"jjj")</f>
        <v>mer</v>
      </c>
      <c r="G7" s="23" t="str">
        <f>TEXT(WEEKDAY(DATE(CalendarYear,1,5),1),"jjj")</f>
        <v>jeu</v>
      </c>
      <c r="H7" s="23" t="str">
        <f>TEXT(WEEKDAY(DATE(CalendarYear,1,6),1),"jjj")</f>
        <v>ven</v>
      </c>
      <c r="I7" s="23" t="str">
        <f>TEXT(WEEKDAY(DATE(CalendarYear,1,7),1),"jjj")</f>
        <v>sam</v>
      </c>
      <c r="J7" s="23" t="str">
        <f>TEXT(WEEKDAY(DATE(CalendarYear,1,8),1),"jjj")</f>
        <v>dim</v>
      </c>
      <c r="K7" s="23" t="str">
        <f>TEXT(WEEKDAY(DATE(CalendarYear,1,9),1),"jjj")</f>
        <v>lun</v>
      </c>
      <c r="L7" s="23" t="str">
        <f>TEXT(WEEKDAY(DATE(CalendarYear,1,10),1),"jjj")</f>
        <v>mar</v>
      </c>
      <c r="M7" s="23" t="str">
        <f>TEXT(WEEKDAY(DATE(CalendarYear,1,11),1),"jjj")</f>
        <v>mer</v>
      </c>
      <c r="N7" s="23" t="str">
        <f>TEXT(WEEKDAY(DATE(CalendarYear,1,12),1),"jjj")</f>
        <v>jeu</v>
      </c>
      <c r="O7" s="23" t="str">
        <f>TEXT(WEEKDAY(DATE(CalendarYear,1,13),1),"jjj")</f>
        <v>ven</v>
      </c>
      <c r="P7" s="23" t="str">
        <f>TEXT(WEEKDAY(DATE(CalendarYear,1,14),1),"jjj")</f>
        <v>sam</v>
      </c>
      <c r="Q7" s="23" t="str">
        <f>TEXT(WEEKDAY(DATE(CalendarYear,1,15),1),"jjj")</f>
        <v>dim</v>
      </c>
      <c r="R7" s="23" t="str">
        <f>TEXT(WEEKDAY(DATE(CalendarYear,1,16),1),"jjj")</f>
        <v>lun</v>
      </c>
      <c r="S7" s="23" t="str">
        <f>TEXT(WEEKDAY(DATE(CalendarYear,1,17),1),"jjj")</f>
        <v>mar</v>
      </c>
      <c r="T7" s="23" t="str">
        <f>TEXT(WEEKDAY(DATE(CalendarYear,1,18),1),"jjj")</f>
        <v>mer</v>
      </c>
      <c r="U7" s="23" t="str">
        <f>TEXT(WEEKDAY(DATE(CalendarYear,1,19),1),"jjj")</f>
        <v>jeu</v>
      </c>
      <c r="V7" s="23" t="str">
        <f>TEXT(WEEKDAY(DATE(CalendarYear,1,20),1),"jjj")</f>
        <v>ven</v>
      </c>
      <c r="W7" s="23" t="str">
        <f>TEXT(WEEKDAY(DATE(CalendarYear,1,21),1),"jjj")</f>
        <v>sam</v>
      </c>
      <c r="X7" s="23" t="str">
        <f>TEXT(WEEKDAY(DATE(CalendarYear,1,22),1),"jjj")</f>
        <v>dim</v>
      </c>
      <c r="Y7" s="23" t="str">
        <f>TEXT(WEEKDAY(DATE(CalendarYear,1,23),1),"jjj")</f>
        <v>lun</v>
      </c>
      <c r="Z7" s="23" t="str">
        <f>TEXT(WEEKDAY(DATE(CalendarYear,1,24),1),"jjj")</f>
        <v>mar</v>
      </c>
      <c r="AA7" s="23" t="str">
        <f>TEXT(WEEKDAY(DATE(CalendarYear,1,25),1),"jjj")</f>
        <v>mer</v>
      </c>
      <c r="AB7" s="23" t="str">
        <f>TEXT(WEEKDAY(DATE(CalendarYear,1,26),1),"jjj")</f>
        <v>jeu</v>
      </c>
      <c r="AC7" s="23" t="str">
        <f>TEXT(WEEKDAY(DATE(CalendarYear,1,27),1),"jjj")</f>
        <v>ven</v>
      </c>
      <c r="AD7" s="23" t="str">
        <f>TEXT(WEEKDAY(DATE(CalendarYear,1,28),1),"jjj")</f>
        <v>sam</v>
      </c>
      <c r="AE7" s="23" t="str">
        <f>TEXT(WEEKDAY(DATE(CalendarYear,1,29),1),"jjj")</f>
        <v>dim</v>
      </c>
      <c r="AF7" s="23" t="str">
        <f>TEXT(WEEKDAY(DATE(CalendarYear,1,30),1),"jjj")</f>
        <v>lun</v>
      </c>
      <c r="AG7" s="23" t="str">
        <f>TEXT(WEEKDAY(DATE(CalendarYear,1,31),1),"jjj")</f>
        <v>mar</v>
      </c>
      <c r="AH7" s="7"/>
    </row>
    <row r="8" spans="1: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1:34" ht="30" customHeight="1">
      <c r="B9" s="2" t="s">
        <v>4</v>
      </c>
      <c r="C9" s="1"/>
      <c r="D9" s="1"/>
      <c r="E9" s="21" t="s">
        <v>9</v>
      </c>
      <c r="F9" s="21" t="s">
        <v>9</v>
      </c>
      <c r="G9" s="21" t="s">
        <v>9</v>
      </c>
      <c r="H9" s="21" t="s">
        <v>9</v>
      </c>
      <c r="I9" s="1"/>
      <c r="J9" s="1"/>
      <c r="K9" s="1"/>
      <c r="L9" s="1"/>
      <c r="M9" s="1"/>
      <c r="N9" s="1"/>
      <c r="O9" s="1" t="s">
        <v>9</v>
      </c>
      <c r="P9" s="1"/>
      <c r="Q9" s="1"/>
      <c r="R9" s="1"/>
      <c r="S9" s="1"/>
      <c r="T9" s="1"/>
      <c r="U9" s="1"/>
      <c r="V9" s="1"/>
      <c r="W9" s="1"/>
      <c r="X9" s="1"/>
      <c r="Y9" s="1"/>
      <c r="Z9" s="1"/>
      <c r="AA9" s="1"/>
      <c r="AB9" s="1"/>
      <c r="AC9" s="1"/>
      <c r="AD9" s="1"/>
      <c r="AE9" s="1"/>
      <c r="AF9" s="1"/>
      <c r="AG9" s="1"/>
      <c r="AH9" s="3">
        <f>COUNTA(Janvier!$C9:$AG9)</f>
        <v>5</v>
      </c>
    </row>
    <row r="10" spans="1:34" ht="30" customHeight="1">
      <c r="B10" s="2" t="s">
        <v>5</v>
      </c>
      <c r="C10" s="1"/>
      <c r="D10" s="1"/>
      <c r="E10" s="1"/>
      <c r="F10" s="1"/>
      <c r="G10" s="1" t="s">
        <v>17</v>
      </c>
      <c r="H10" s="1" t="s">
        <v>17</v>
      </c>
      <c r="I10" s="1"/>
      <c r="J10" s="1"/>
      <c r="K10" s="1"/>
      <c r="L10" s="1"/>
      <c r="M10" s="1" t="s">
        <v>15</v>
      </c>
      <c r="N10" s="1"/>
      <c r="O10" s="1"/>
      <c r="P10" s="1"/>
      <c r="Q10" s="1"/>
      <c r="R10" s="1"/>
      <c r="S10" s="1"/>
      <c r="T10" s="1"/>
      <c r="U10" s="1"/>
      <c r="V10" s="1" t="s">
        <v>17</v>
      </c>
      <c r="W10" s="1"/>
      <c r="X10" s="1"/>
      <c r="Y10" s="1"/>
      <c r="Z10" s="1"/>
      <c r="AA10" s="1" t="s">
        <v>9</v>
      </c>
      <c r="AB10" s="1" t="s">
        <v>9</v>
      </c>
      <c r="AC10" s="1" t="s">
        <v>9</v>
      </c>
      <c r="AD10" s="1"/>
      <c r="AE10" s="1"/>
      <c r="AF10" s="1"/>
      <c r="AG10" s="1"/>
      <c r="AH10" s="3">
        <f>COUNTA(Janvier!$C10:$AG10)</f>
        <v>7</v>
      </c>
    </row>
    <row r="11" spans="1:34" ht="30" customHeight="1">
      <c r="B11" s="2" t="s">
        <v>6</v>
      </c>
      <c r="C11" s="1"/>
      <c r="D11" s="1"/>
      <c r="E11" s="1" t="s">
        <v>15</v>
      </c>
      <c r="F11" s="1"/>
      <c r="G11" s="1"/>
      <c r="H11" s="1"/>
      <c r="I11" s="1"/>
      <c r="J11" s="1"/>
      <c r="K11" s="1"/>
      <c r="L11" s="1"/>
      <c r="M11" s="1"/>
      <c r="N11" s="1"/>
      <c r="O11" s="1"/>
      <c r="P11" s="1" t="s">
        <v>17</v>
      </c>
      <c r="Q11" s="1"/>
      <c r="R11" s="1"/>
      <c r="S11" s="1"/>
      <c r="T11" s="1"/>
      <c r="U11" s="1"/>
      <c r="V11" s="1"/>
      <c r="W11" s="1"/>
      <c r="X11" s="1"/>
      <c r="Y11" s="1"/>
      <c r="Z11" s="1"/>
      <c r="AA11" s="1"/>
      <c r="AB11" s="1"/>
      <c r="AC11" s="1"/>
      <c r="AD11" s="1"/>
      <c r="AE11" s="1" t="s">
        <v>17</v>
      </c>
      <c r="AF11" s="1"/>
      <c r="AG11" s="1"/>
      <c r="AH11" s="3">
        <f>COUNTA(Janvier!$C11:$AG11)</f>
        <v>3</v>
      </c>
    </row>
    <row r="12" spans="1:34" ht="30" customHeight="1">
      <c r="B12" s="2" t="s">
        <v>7</v>
      </c>
      <c r="C12" s="1"/>
      <c r="D12" s="1"/>
      <c r="E12" s="1"/>
      <c r="F12" s="1"/>
      <c r="G12" s="1"/>
      <c r="H12" s="1"/>
      <c r="I12" s="1" t="s">
        <v>15</v>
      </c>
      <c r="J12" s="1"/>
      <c r="K12" s="1"/>
      <c r="L12" s="1"/>
      <c r="M12" s="1"/>
      <c r="N12" s="1"/>
      <c r="O12" s="1"/>
      <c r="P12" s="1"/>
      <c r="Q12" s="1"/>
      <c r="R12" s="1"/>
      <c r="S12" s="1"/>
      <c r="T12" s="1"/>
      <c r="U12" s="1" t="s">
        <v>9</v>
      </c>
      <c r="V12" s="1" t="s">
        <v>9</v>
      </c>
      <c r="W12" s="1" t="s">
        <v>9</v>
      </c>
      <c r="X12" s="1"/>
      <c r="Y12" s="1"/>
      <c r="Z12" s="1"/>
      <c r="AA12" s="1"/>
      <c r="AB12" s="1"/>
      <c r="AC12" s="1"/>
      <c r="AD12" s="1"/>
      <c r="AE12" s="1"/>
      <c r="AF12" s="1"/>
      <c r="AG12" s="1"/>
      <c r="AH12" s="3">
        <f>COUNTA(Janvier!$C12:$AG12)</f>
        <v>4</v>
      </c>
    </row>
    <row r="13" spans="1:34" ht="30" customHeight="1">
      <c r="B13" s="2" t="s">
        <v>8</v>
      </c>
      <c r="C13" s="1"/>
      <c r="D13" s="1"/>
      <c r="E13" s="1"/>
      <c r="F13" s="1" t="s">
        <v>17</v>
      </c>
      <c r="G13" s="1" t="s">
        <v>9</v>
      </c>
      <c r="H13" s="1" t="s">
        <v>9</v>
      </c>
      <c r="I13" s="1"/>
      <c r="J13" s="1"/>
      <c r="K13" s="1"/>
      <c r="L13" s="1"/>
      <c r="M13" s="1"/>
      <c r="N13" s="1"/>
      <c r="O13" s="1"/>
      <c r="P13" s="1"/>
      <c r="Q13" s="1"/>
      <c r="R13" s="1"/>
      <c r="S13" s="1" t="s">
        <v>17</v>
      </c>
      <c r="T13" s="1"/>
      <c r="U13" s="1"/>
      <c r="V13" s="1"/>
      <c r="W13" s="1"/>
      <c r="X13" s="1"/>
      <c r="Y13" s="1"/>
      <c r="Z13" s="1" t="s">
        <v>17</v>
      </c>
      <c r="AA13" s="1"/>
      <c r="AB13" s="1"/>
      <c r="AC13" s="1"/>
      <c r="AD13" s="1"/>
      <c r="AE13" s="1"/>
      <c r="AF13" s="1"/>
      <c r="AG13" s="1" t="s">
        <v>9</v>
      </c>
      <c r="AH13" s="3">
        <f>COUNTA(Janvier!$C13:$AG13)</f>
        <v>6</v>
      </c>
    </row>
    <row r="14" spans="1:34" ht="30" customHeight="1">
      <c r="B14" s="5" t="str">
        <f>NomMois&amp;" total"</f>
        <v>Janvier total</v>
      </c>
      <c r="C14" s="4">
        <f>SUBTOTAL(103,Janvier!$C$9:$C$13)</f>
        <v>0</v>
      </c>
      <c r="D14" s="4">
        <f>SUBTOTAL(103,Janvier!$D$9:$D$13)</f>
        <v>0</v>
      </c>
      <c r="E14" s="4">
        <f>SUBTOTAL(103,Janvier!$E$9:$E$13)</f>
        <v>2</v>
      </c>
      <c r="F14" s="4">
        <f>SUBTOTAL(103,Janvier!$F$9:$F$13)</f>
        <v>2</v>
      </c>
      <c r="G14" s="4">
        <f>SUBTOTAL(103,Janvier!$G$9:$G$13)</f>
        <v>3</v>
      </c>
      <c r="H14" s="4">
        <f>SUBTOTAL(103,Janvier!$H$9:$H$13)</f>
        <v>3</v>
      </c>
      <c r="I14" s="4">
        <f>SUBTOTAL(103,Janvier!$I$9:$I$13)</f>
        <v>1</v>
      </c>
      <c r="J14" s="4">
        <f>SUBTOTAL(103,Janvier!$J$9:$J$13)</f>
        <v>0</v>
      </c>
      <c r="K14" s="4">
        <f>SUBTOTAL(103,Janvier!$K$9:$K$13)</f>
        <v>0</v>
      </c>
      <c r="L14" s="4">
        <f>SUBTOTAL(103,Janvier!$L$9:$L$13)</f>
        <v>0</v>
      </c>
      <c r="M14" s="4">
        <f>SUBTOTAL(103,Janvier!$M$9:$M$13)</f>
        <v>1</v>
      </c>
      <c r="N14" s="4">
        <f>SUBTOTAL(103,Janvier!$N$9:$N$13)</f>
        <v>0</v>
      </c>
      <c r="O14" s="4">
        <f>SUBTOTAL(103,Janvier!$O$9:$O$13)</f>
        <v>1</v>
      </c>
      <c r="P14" s="4">
        <f>SUBTOTAL(103,Janvier!$P$9:$P$13)</f>
        <v>1</v>
      </c>
      <c r="Q14" s="4">
        <f>SUBTOTAL(103,Janvier!$Q$9:$Q$13)</f>
        <v>0</v>
      </c>
      <c r="R14" s="4">
        <f>SUBTOTAL(103,Janvier!$R$9:$R$13)</f>
        <v>0</v>
      </c>
      <c r="S14" s="4">
        <f>SUBTOTAL(103,Janvier!$S$9:$S$13)</f>
        <v>1</v>
      </c>
      <c r="T14" s="4">
        <f>SUBTOTAL(103,Janvier!$T$9:$T$13)</f>
        <v>0</v>
      </c>
      <c r="U14" s="4">
        <f>SUBTOTAL(103,Janvier!$U$9:$U$13)</f>
        <v>1</v>
      </c>
      <c r="V14" s="4">
        <f>SUBTOTAL(103,Janvier!$V$9:$V$13)</f>
        <v>2</v>
      </c>
      <c r="W14" s="4">
        <f>SUBTOTAL(103,Janvier!$W$9:$W$13)</f>
        <v>1</v>
      </c>
      <c r="X14" s="4">
        <f>SUBTOTAL(103,Janvier!$X$9:$X$13)</f>
        <v>0</v>
      </c>
      <c r="Y14" s="4">
        <f>SUBTOTAL(103,Janvier!$Y$9:$Y$13)</f>
        <v>0</v>
      </c>
      <c r="Z14" s="4">
        <f>SUBTOTAL(103,Janvier!$Z$9:$Z$13)</f>
        <v>1</v>
      </c>
      <c r="AA14" s="4">
        <f>SUBTOTAL(103,Janvier!$AA$9:$AA$13)</f>
        <v>1</v>
      </c>
      <c r="AB14" s="4">
        <f>SUBTOTAL(103,Janvier!$AB$9:$AB$13)</f>
        <v>1</v>
      </c>
      <c r="AC14" s="4">
        <f>SUBTOTAL(103,Janvier!$AC$9:$AC$13)</f>
        <v>1</v>
      </c>
      <c r="AD14" s="4">
        <f>SUBTOTAL(103,Janvier!$AD$9:$AD$13)</f>
        <v>0</v>
      </c>
      <c r="AE14" s="4">
        <f>SUBTOTAL(103,Janvier!$AE$9:$AE$13)</f>
        <v>1</v>
      </c>
      <c r="AF14" s="4">
        <f>SUBTOTAL(103,Janvier!$AF$9:$AF$13)</f>
        <v>0</v>
      </c>
      <c r="AG14" s="4">
        <f>SUBTOTAL(103,Janvier!$AG$9:$AG$13)</f>
        <v>1</v>
      </c>
      <c r="AH14" s="4">
        <f>SUBTOTAL(109,Janvier[Total des jours])</f>
        <v>25</v>
      </c>
    </row>
  </sheetData>
  <mergeCells count="6">
    <mergeCell ref="C6:AG6"/>
    <mergeCell ref="D4:E4"/>
    <mergeCell ref="G4:I4"/>
    <mergeCell ref="K4:L4"/>
    <mergeCell ref="O4:R4"/>
    <mergeCell ref="T4:W4"/>
  </mergeCells>
  <phoneticPr fontId="32" type="noConversion"/>
  <conditionalFormatting sqref="C9:AG13">
    <cfRule type="expression" priority="3" stopIfTrue="1">
      <formula>C9=""</formula>
    </cfRule>
    <cfRule type="expression" dxfId="61" priority="8" stopIfTrue="1">
      <formula>C9=CléPersonnalisée2</formula>
    </cfRule>
    <cfRule type="expression" dxfId="60" priority="9" stopIfTrue="1">
      <formula>C9=CléPersonnalisée1</formula>
    </cfRule>
    <cfRule type="expression" dxfId="59" priority="10" stopIfTrue="1">
      <formula>C9=CléMaladie</formula>
    </cfRule>
    <cfRule type="expression" dxfId="58" priority="11" stopIfTrue="1">
      <formula>C9=CléPersonnel</formula>
    </cfRule>
    <cfRule type="expression" dxfId="57" priority="12" stopIfTrue="1">
      <formula>C9=CléCongé</formula>
    </cfRule>
  </conditionalFormatting>
  <conditionalFormatting sqref="AH9:AH13">
    <cfRule type="dataBar" priority="170">
      <dataBar>
        <cfvo type="num" val="0"/>
        <cfvo type="num" val="31"/>
        <color theme="4"/>
      </dataBar>
      <extLst>
        <ext xmlns:x14="http://schemas.microsoft.com/office/spreadsheetml/2009/9/main" uri="{B025F937-C7B1-47D3-B67F-A62EFF666E3E}">
          <x14:id>{ECCE2C3C-1B01-4700-B60E-DAAAB19A9C1A}</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B55708-481E-2E48-9F66-3C8E8545F6B0}"/>
    <dataValidation allowBlank="1" showInputMessage="1" showErrorMessage="1" prompt="La lettre « C » indique une absence pour cause de congé" sqref="C4" xr:uid="{9058FE4E-B17F-E943-9A83-5582DE92BDB6}"/>
    <dataValidation allowBlank="1" showInputMessage="1" showErrorMessage="1" prompt="La lettre « P » indique une absence pour motifs personnels" sqref="F4" xr:uid="{C4744D51-42B4-0342-B86A-BE9D6063B807}"/>
    <dataValidation allowBlank="1" showInputMessage="1" showErrorMessage="1" prompt="La lettre « M » indique une absence pour cause de maladie" sqref="J4" xr:uid="{EBA2AA00-2D66-0547-8889-4D34A2A72241}"/>
    <dataValidation allowBlank="1" showInputMessage="1" showErrorMessage="1" prompt="Entrez une lettre et personnalisez l’étiquette à droite pour ajouter un élément de clé" sqref="N4 S4" xr:uid="{FEABEF84-83D3-7D42-BA7C-926AE09CBA1E}"/>
    <dataValidation allowBlank="1" showInputMessage="1" showErrorMessage="1" prompt="Entrez une étiquette pour décrire la clé personnalisée à gauche" sqref="O4 T4" xr:uid="{12884A59-5F75-0848-A6CD-363E691B1D2A}"/>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5" xr:uid="{00000000-0002-0000-0000-00000E00000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4494D1-42F6-BB47-AFAB-18021A3441AC}"/>
    <dataValidation allowBlank="1" showInputMessage="1" showErrorMessage="1" prompt="Le titre mis à jour automatiquement figure dans cette cellule. Pour modifier le titre, mettez à jour la cellule B1 de la feuille de calcul Janvier" sqref="B2" xr:uid="{20FFCBA6-5698-4E4B-9E75-1B2FD678A86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E3C1916-A13B-EF44-83B6-EF87C12834B2}"/>
    <dataValidation allowBlank="1" showInputMessage="1" showErrorMessage="1" prompt="Calcule automatiquement le nombre total de jours d’absence d’un employé ce mois-ci dans cette colonne" sqref="AH8" xr:uid="{17D68424-3ED0-774F-A440-37779B4905D7}"/>
    <dataValidation allowBlank="1" showInputMessage="1" showErrorMessage="1" prompt="Entrez l’année dans cette cellule" sqref="AH6" xr:uid="{00000000-0002-0000-0000-000000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F6CAA384-C773-F044-845D-980CB65F95B2}"/>
    <dataValidation allowBlank="1" showInputMessage="1" showErrorMessage="1" prompt="Cette ligne définit les clés utilisées dans le tableau : la cellule C4 un congé, la G4 personnel, et K4 un congé maladie. Les cellules N4 et R4 sont personnalisables " sqref="B4" xr:uid="{254C5299-B8DC-4E28-AD10-F93B45AED253}"/>
    <dataValidation allowBlank="1" showInputMessage="1" showErrorMessage="1" prompt="Le titre de la feuille de calcul figure dans cette cellule. " sqref="B1" xr:uid="{F61E6882-FE5C-43CD-B756-4B881652736D}"/>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gradient="0">
              <x14:cfvo type="num">
                <xm:f>0</xm:f>
              </x14:cfvo>
              <x14:cfvo type="num">
                <xm:f>31</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B9:B13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tint="0.39997558519241921"/>
  </sheetPr>
  <dimension ref="A1:AH14"/>
  <sheetViews>
    <sheetView showGridLines="0" zoomScaleNormal="100" workbookViewId="0"/>
  </sheetViews>
  <sheetFormatPr baseColWidth="10" defaultColWidth="9.10937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1:34" ht="50.1" customHeight="1">
      <c r="B1" s="26" t="s">
        <v>0</v>
      </c>
    </row>
    <row r="2" spans="1:34" s="12" customFormat="1" ht="100.35" customHeight="1">
      <c r="A2"/>
      <c r="B2" s="25" t="s">
        <v>50</v>
      </c>
    </row>
    <row r="3" spans="1: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1: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1: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1: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1:34" ht="30" customHeight="1">
      <c r="B7" s="7"/>
      <c r="C7" s="23" t="str">
        <f>TEXT(WEEKDAY(DATE(CalendarYear,2,1),1),"jjj")</f>
        <v>mer</v>
      </c>
      <c r="D7" s="23" t="str">
        <f>TEXT(WEEKDAY(DATE(CalendarYear,2,2),1),"jjj")</f>
        <v>jeu</v>
      </c>
      <c r="E7" s="23" t="str">
        <f>TEXT(WEEKDAY(DATE(CalendarYear,2,3),1),"jjj")</f>
        <v>ven</v>
      </c>
      <c r="F7" s="23" t="str">
        <f>TEXT(WEEKDAY(DATE(CalendarYear,2,4),1),"jjj")</f>
        <v>sam</v>
      </c>
      <c r="G7" s="23" t="str">
        <f>TEXT(WEEKDAY(DATE(CalendarYear,2,5),1),"jjj")</f>
        <v>dim</v>
      </c>
      <c r="H7" s="23" t="str">
        <f>TEXT(WEEKDAY(DATE(CalendarYear,2,6),1),"jjj")</f>
        <v>lun</v>
      </c>
      <c r="I7" s="23" t="str">
        <f>TEXT(WEEKDAY(DATE(CalendarYear,2,7),1),"jjj")</f>
        <v>mar</v>
      </c>
      <c r="J7" s="23" t="str">
        <f>TEXT(WEEKDAY(DATE(CalendarYear,2,8),1),"jjj")</f>
        <v>mer</v>
      </c>
      <c r="K7" s="23" t="str">
        <f>TEXT(WEEKDAY(DATE(CalendarYear,2,9),1),"jjj")</f>
        <v>jeu</v>
      </c>
      <c r="L7" s="23" t="str">
        <f>TEXT(WEEKDAY(DATE(CalendarYear,2,10),1),"jjj")</f>
        <v>ven</v>
      </c>
      <c r="M7" s="23" t="str">
        <f>TEXT(WEEKDAY(DATE(CalendarYear,2,11),1),"jjj")</f>
        <v>sam</v>
      </c>
      <c r="N7" s="23" t="str">
        <f>TEXT(WEEKDAY(DATE(CalendarYear,2,12),1),"jjj")</f>
        <v>dim</v>
      </c>
      <c r="O7" s="23" t="str">
        <f>TEXT(WEEKDAY(DATE(CalendarYear,2,13),1),"jjj")</f>
        <v>lun</v>
      </c>
      <c r="P7" s="23" t="str">
        <f>TEXT(WEEKDAY(DATE(CalendarYear,2,14),1),"jjj")</f>
        <v>mar</v>
      </c>
      <c r="Q7" s="23" t="str">
        <f>TEXT(WEEKDAY(DATE(CalendarYear,2,15),1),"jjj")</f>
        <v>mer</v>
      </c>
      <c r="R7" s="23" t="str">
        <f>TEXT(WEEKDAY(DATE(CalendarYear,2,16),1),"jjj")</f>
        <v>jeu</v>
      </c>
      <c r="S7" s="23" t="str">
        <f>TEXT(WEEKDAY(DATE(CalendarYear,2,17),1),"jjj")</f>
        <v>ven</v>
      </c>
      <c r="T7" s="23" t="str">
        <f>TEXT(WEEKDAY(DATE(CalendarYear,2,18),1),"jjj")</f>
        <v>sam</v>
      </c>
      <c r="U7" s="23" t="str">
        <f>TEXT(WEEKDAY(DATE(CalendarYear,2,19),1),"jjj")</f>
        <v>dim</v>
      </c>
      <c r="V7" s="23" t="str">
        <f>TEXT(WEEKDAY(DATE(CalendarYear,2,20),1),"jjj")</f>
        <v>lun</v>
      </c>
      <c r="W7" s="23" t="str">
        <f>TEXT(WEEKDAY(DATE(CalendarYear,2,21),1),"jjj")</f>
        <v>mar</v>
      </c>
      <c r="X7" s="23" t="str">
        <f>TEXT(WEEKDAY(DATE(CalendarYear,2,22),1),"jjj")</f>
        <v>mer</v>
      </c>
      <c r="Y7" s="23" t="str">
        <f>TEXT(WEEKDAY(DATE(CalendarYear,2,23),1),"jjj")</f>
        <v>jeu</v>
      </c>
      <c r="Z7" s="23" t="str">
        <f>TEXT(WEEKDAY(DATE(CalendarYear,2,24),1),"jjj")</f>
        <v>ven</v>
      </c>
      <c r="AA7" s="23" t="str">
        <f>TEXT(WEEKDAY(DATE(CalendarYear,2,25),1),"jjj")</f>
        <v>sam</v>
      </c>
      <c r="AB7" s="23" t="str">
        <f>TEXT(WEEKDAY(DATE(CalendarYear,2,26),1),"jjj")</f>
        <v>dim</v>
      </c>
      <c r="AC7" s="23" t="str">
        <f>TEXT(WEEKDAY(DATE(CalendarYear,2,27),1),"jjj")</f>
        <v>lun</v>
      </c>
      <c r="AD7" s="23" t="str">
        <f>TEXT(WEEKDAY(DATE(CalendarYear,2,28),1),"jjj")</f>
        <v>mar</v>
      </c>
      <c r="AE7" s="23" t="str">
        <f>TEXT(WEEKDAY(DATE(CalendarYear,2,29),1),"jjj")</f>
        <v>mer</v>
      </c>
      <c r="AF7" s="23"/>
      <c r="AG7" s="23"/>
      <c r="AH7" s="7"/>
    </row>
    <row r="8" spans="1: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51</v>
      </c>
      <c r="AG8" s="1" t="s">
        <v>52</v>
      </c>
      <c r="AH8" s="24" t="s">
        <v>49</v>
      </c>
    </row>
    <row r="9" spans="1:34" ht="30" customHeight="1">
      <c r="B9" s="2" t="s">
        <v>4</v>
      </c>
      <c r="C9" s="21"/>
      <c r="D9" s="21"/>
      <c r="E9" s="21" t="s">
        <v>9</v>
      </c>
      <c r="F9" s="21" t="s">
        <v>9</v>
      </c>
      <c r="G9" s="21" t="s">
        <v>9</v>
      </c>
      <c r="H9" s="21" t="s">
        <v>9</v>
      </c>
      <c r="I9" s="21"/>
      <c r="J9" s="21"/>
      <c r="K9" s="21"/>
      <c r="L9" s="21"/>
      <c r="M9" s="21"/>
      <c r="N9" s="21"/>
      <c r="O9" s="21" t="s">
        <v>9</v>
      </c>
      <c r="P9" s="21"/>
      <c r="Q9" s="21"/>
      <c r="R9" s="21"/>
      <c r="S9" s="21"/>
      <c r="T9" s="21"/>
      <c r="U9" s="21"/>
      <c r="V9" s="21"/>
      <c r="W9" s="21"/>
      <c r="X9" s="21"/>
      <c r="Y9" s="21"/>
      <c r="Z9" s="21"/>
      <c r="AA9" s="21"/>
      <c r="AB9" s="21"/>
      <c r="AC9" s="21"/>
      <c r="AD9" s="21"/>
      <c r="AE9" s="21"/>
      <c r="AF9" s="21"/>
      <c r="AG9" s="21"/>
      <c r="AH9" s="3">
        <f>COUNTA(Février[[#This Row],[1]:[29]])</f>
        <v>5</v>
      </c>
    </row>
    <row r="10" spans="1:34" ht="30" customHeight="1">
      <c r="B10" s="2" t="s">
        <v>5</v>
      </c>
      <c r="C10" s="21"/>
      <c r="D10" s="21"/>
      <c r="E10" s="21"/>
      <c r="F10" s="21"/>
      <c r="G10" s="21" t="s">
        <v>17</v>
      </c>
      <c r="H10" s="21" t="s">
        <v>17</v>
      </c>
      <c r="I10" s="21"/>
      <c r="J10" s="21"/>
      <c r="K10" s="21"/>
      <c r="L10" s="21"/>
      <c r="M10" s="21" t="s">
        <v>15</v>
      </c>
      <c r="N10" s="21"/>
      <c r="O10" s="21"/>
      <c r="P10" s="21"/>
      <c r="Q10" s="21"/>
      <c r="R10" s="21"/>
      <c r="S10" s="21"/>
      <c r="T10" s="21"/>
      <c r="U10" s="21"/>
      <c r="V10" s="21" t="s">
        <v>17</v>
      </c>
      <c r="W10" s="21"/>
      <c r="X10" s="21"/>
      <c r="Y10" s="21"/>
      <c r="Z10" s="21"/>
      <c r="AA10" s="21" t="s">
        <v>9</v>
      </c>
      <c r="AB10" s="21" t="s">
        <v>9</v>
      </c>
      <c r="AC10" s="21" t="s">
        <v>9</v>
      </c>
      <c r="AD10" s="21"/>
      <c r="AE10" s="21"/>
      <c r="AF10" s="21"/>
      <c r="AG10" s="21"/>
      <c r="AH10" s="3">
        <f>COUNTA(Février[[#This Row],[1]:[29]])</f>
        <v>7</v>
      </c>
    </row>
    <row r="11" spans="1:34" ht="30" customHeight="1">
      <c r="B11" s="2" t="s">
        <v>6</v>
      </c>
      <c r="C11" s="21"/>
      <c r="D11" s="21"/>
      <c r="E11" s="21"/>
      <c r="F11" s="21"/>
      <c r="G11" s="21"/>
      <c r="H11" s="21"/>
      <c r="I11" s="21"/>
      <c r="J11" s="21"/>
      <c r="K11" s="21"/>
      <c r="L11" s="21"/>
      <c r="M11" s="21"/>
      <c r="N11" s="21"/>
      <c r="O11" s="21"/>
      <c r="P11" s="21"/>
      <c r="Q11" s="21"/>
      <c r="R11" s="21"/>
      <c r="S11" s="21"/>
      <c r="T11" s="21"/>
      <c r="U11" s="21"/>
      <c r="V11" s="21"/>
      <c r="W11" s="21"/>
      <c r="X11" s="21"/>
      <c r="Y11" s="21"/>
      <c r="Z11" s="21"/>
      <c r="AA11" s="21"/>
      <c r="AB11" s="21"/>
      <c r="AC11" s="21"/>
      <c r="AD11" s="21"/>
      <c r="AE11" s="21"/>
      <c r="AF11" s="21"/>
      <c r="AG11" s="21"/>
      <c r="AH11" s="3">
        <f>COUNTA(Février[[#This Row],[1]:[29]])</f>
        <v>0</v>
      </c>
    </row>
    <row r="12" spans="1:34" ht="30" customHeight="1">
      <c r="B12" s="2" t="s">
        <v>7</v>
      </c>
      <c r="C12" s="21"/>
      <c r="D12" s="21"/>
      <c r="E12" s="21" t="s">
        <v>17</v>
      </c>
      <c r="F12" s="21"/>
      <c r="G12" s="21"/>
      <c r="H12" s="21"/>
      <c r="I12" s="21"/>
      <c r="J12" s="21"/>
      <c r="K12" s="21"/>
      <c r="L12" s="21"/>
      <c r="M12" s="21"/>
      <c r="N12" s="21"/>
      <c r="O12" s="21"/>
      <c r="P12" s="21" t="s">
        <v>17</v>
      </c>
      <c r="Q12" s="21"/>
      <c r="R12" s="21"/>
      <c r="S12" s="21"/>
      <c r="T12" s="21" t="s">
        <v>15</v>
      </c>
      <c r="U12" s="21"/>
      <c r="V12" s="21"/>
      <c r="W12" s="21"/>
      <c r="X12" s="21"/>
      <c r="Y12" s="21"/>
      <c r="Z12" s="21"/>
      <c r="AA12" s="21"/>
      <c r="AB12" s="21"/>
      <c r="AC12" s="21"/>
      <c r="AD12" s="21" t="s">
        <v>17</v>
      </c>
      <c r="AE12" s="21"/>
      <c r="AF12" s="21"/>
      <c r="AG12" s="21"/>
      <c r="AH12" s="3">
        <f>COUNTA(Février[[#This Row],[1]:[29]])</f>
        <v>4</v>
      </c>
    </row>
    <row r="13" spans="1:34" ht="30" customHeight="1">
      <c r="B13" s="2" t="s">
        <v>8</v>
      </c>
      <c r="C13" s="21"/>
      <c r="D13" s="21"/>
      <c r="E13" s="21"/>
      <c r="F13" s="21"/>
      <c r="G13" s="21"/>
      <c r="H13" s="21"/>
      <c r="I13" s="21"/>
      <c r="J13" s="21" t="s">
        <v>9</v>
      </c>
      <c r="K13" s="21" t="s">
        <v>9</v>
      </c>
      <c r="L13" s="21" t="s">
        <v>9</v>
      </c>
      <c r="M13" s="21" t="s">
        <v>9</v>
      </c>
      <c r="N13" s="21"/>
      <c r="O13" s="21"/>
      <c r="P13" s="21"/>
      <c r="Q13" s="21"/>
      <c r="R13" s="21"/>
      <c r="S13" s="21"/>
      <c r="T13" s="21"/>
      <c r="U13" s="21"/>
      <c r="V13" s="21"/>
      <c r="W13" s="21"/>
      <c r="X13" s="21"/>
      <c r="Y13" s="21"/>
      <c r="Z13" s="21" t="s">
        <v>17</v>
      </c>
      <c r="AA13" s="21"/>
      <c r="AB13" s="21"/>
      <c r="AC13" s="21"/>
      <c r="AD13" s="21"/>
      <c r="AE13" s="21"/>
      <c r="AF13" s="21"/>
      <c r="AG13" s="21"/>
      <c r="AH13" s="3">
        <f>COUNTA(Février[[#This Row],[1]:[29]])</f>
        <v>5</v>
      </c>
    </row>
    <row r="14" spans="1:34" ht="30" customHeight="1">
      <c r="B14" s="5" t="str">
        <f>NomMois&amp;" total"</f>
        <v>Février total</v>
      </c>
      <c r="C14" s="4">
        <f>SUBTOTAL(103,Février[1])</f>
        <v>0</v>
      </c>
      <c r="D14" s="4">
        <f>SUBTOTAL(103,Février[2])</f>
        <v>0</v>
      </c>
      <c r="E14" s="4">
        <f>SUBTOTAL(103,Février[3])</f>
        <v>2</v>
      </c>
      <c r="F14" s="4">
        <f>SUBTOTAL(103,Février[4])</f>
        <v>1</v>
      </c>
      <c r="G14" s="4">
        <f>SUBTOTAL(103,Février[5])</f>
        <v>2</v>
      </c>
      <c r="H14" s="4">
        <f>SUBTOTAL(103,Février[6])</f>
        <v>2</v>
      </c>
      <c r="I14" s="4">
        <f>SUBTOTAL(103,Février[7])</f>
        <v>0</v>
      </c>
      <c r="J14" s="4">
        <f>SUBTOTAL(103,Février[8])</f>
        <v>1</v>
      </c>
      <c r="K14" s="4">
        <f>SUBTOTAL(103,Février[9])</f>
        <v>1</v>
      </c>
      <c r="L14" s="4">
        <f>SUBTOTAL(103,Février[10])</f>
        <v>1</v>
      </c>
      <c r="M14" s="4">
        <f>SUBTOTAL(103,Février[11])</f>
        <v>2</v>
      </c>
      <c r="N14" s="4">
        <f>SUBTOTAL(103,Février[12])</f>
        <v>0</v>
      </c>
      <c r="O14" s="4">
        <f>SUBTOTAL(103,Février[13])</f>
        <v>1</v>
      </c>
      <c r="P14" s="4">
        <f>SUBTOTAL(103,Février[14])</f>
        <v>1</v>
      </c>
      <c r="Q14" s="4">
        <f>SUBTOTAL(103,Février[15])</f>
        <v>0</v>
      </c>
      <c r="R14" s="4">
        <f>SUBTOTAL(103,Février[16])</f>
        <v>0</v>
      </c>
      <c r="S14" s="4">
        <f>SUBTOTAL(103,Février[17])</f>
        <v>0</v>
      </c>
      <c r="T14" s="4">
        <f>SUBTOTAL(103,Février[18])</f>
        <v>1</v>
      </c>
      <c r="U14" s="4">
        <f>SUBTOTAL(103,Février[19])</f>
        <v>0</v>
      </c>
      <c r="V14" s="4">
        <f>SUBTOTAL(103,Février[20])</f>
        <v>1</v>
      </c>
      <c r="W14" s="4">
        <f>SUBTOTAL(103,Février[21])</f>
        <v>0</v>
      </c>
      <c r="X14" s="4">
        <f>SUBTOTAL(103,Février[22])</f>
        <v>0</v>
      </c>
      <c r="Y14" s="4">
        <f>SUBTOTAL(103,Février[23])</f>
        <v>0</v>
      </c>
      <c r="Z14" s="4">
        <f>SUBTOTAL(103,Février[24])</f>
        <v>1</v>
      </c>
      <c r="AA14" s="4">
        <f>SUBTOTAL(103,Février[25])</f>
        <v>1</v>
      </c>
      <c r="AB14" s="4">
        <f>SUBTOTAL(103,Février[26])</f>
        <v>1</v>
      </c>
      <c r="AC14" s="4">
        <f>SUBTOTAL(103,Février[27])</f>
        <v>1</v>
      </c>
      <c r="AD14" s="4">
        <f>SUBTOTAL(103,Février[28])</f>
        <v>1</v>
      </c>
      <c r="AE14" s="4">
        <f>SUBTOTAL(103,Février[29])</f>
        <v>0</v>
      </c>
      <c r="AF14" s="4"/>
      <c r="AG14" s="4"/>
      <c r="AH14" s="4">
        <f>SUBTOTAL(109,Février[Total des jours])</f>
        <v>21</v>
      </c>
    </row>
  </sheetData>
  <mergeCells count="6">
    <mergeCell ref="C6:AG6"/>
    <mergeCell ref="D4:E4"/>
    <mergeCell ref="G4:I4"/>
    <mergeCell ref="K4:L4"/>
    <mergeCell ref="O4:R4"/>
    <mergeCell ref="T4:W4"/>
  </mergeCells>
  <phoneticPr fontId="32" type="noConversion"/>
  <conditionalFormatting sqref="C9:AG13">
    <cfRule type="expression" priority="3" stopIfTrue="1">
      <formula>C9=""</formula>
    </cfRule>
    <cfRule type="expression" dxfId="56" priority="4" stopIfTrue="1">
      <formula>C9=CléPersonnalisée2</formula>
    </cfRule>
    <cfRule type="expression" dxfId="55" priority="6" stopIfTrue="1">
      <formula>C9=CléPersonnalisée1</formula>
    </cfRule>
    <cfRule type="expression" dxfId="54" priority="7" stopIfTrue="1">
      <formula>C9=CléMaladie</formula>
    </cfRule>
    <cfRule type="expression" dxfId="53" priority="8" stopIfTrue="1">
      <formula>C9=CléPersonnel</formula>
    </cfRule>
    <cfRule type="expression" dxfId="52" priority="9" stopIfTrue="1">
      <formula>C9=CléCongé</formula>
    </cfRule>
  </conditionalFormatting>
  <conditionalFormatting sqref="AE7">
    <cfRule type="expression" dxfId="51" priority="1">
      <formula>MONTH(DATE(CalendarYear,2,29))&lt;&gt;2</formula>
    </cfRule>
  </conditionalFormatting>
  <conditionalFormatting sqref="AE8">
    <cfRule type="expression" dxfId="50" priority="17">
      <formula>MONTH(DATE(CalendarYear,2,29))&lt;&gt;2</formula>
    </cfRule>
  </conditionalFormatting>
  <conditionalFormatting sqref="AH9:AH13">
    <cfRule type="dataBar" priority="154">
      <dataBar>
        <cfvo type="min"/>
        <cfvo type="formula" val="DATEDIF(DATE(CalendarYear,2,1),DATE(CalendarYear,3,1),&quot;d&quot;)"/>
        <color theme="4"/>
      </dataBar>
      <extLst>
        <ext xmlns:x14="http://schemas.microsoft.com/office/spreadsheetml/2009/9/main" uri="{B025F937-C7B1-47D3-B67F-A62EFF666E3E}">
          <x14:id>{94738C71-AB78-40C3-A818-D083AE35CC38}</x14:id>
        </ext>
      </extLst>
    </cfRule>
  </conditionalFormatting>
  <dataValidations xWindow="232" yWindow="365" count="15">
    <dataValidation allowBlank="1" showInputMessage="1" showErrorMessage="1" prompt="Année mise à jour automatiquement en fonction de l’année entrée dans la feuille de calcul Janvier" sqref="AH6"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8" xr:uid="{77246999-1DD3-7143-AA66-1A208D7E07C6}"/>
    <dataValidation allowBlank="1" showInputMessage="1" showErrorMessage="1" prompt="Le titre mis à jour automatiquement figure dans cette cellule. Pour modifier le titre, mettez à jour la cellule B1 de la feuille de calcul Janvier" sqref="B2"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2"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63261372-7DCA-F84F-9EF6-13D18C8D58CC}"/>
    <dataValidation allowBlank="1" showInputMessage="1" showErrorMessage="1" prompt="Entrez une étiquette pour décrire la clé personnalisée à gauche" sqref="O4 T4" xr:uid="{00000000-0002-0000-0100-000007000000}"/>
    <dataValidation allowBlank="1" showInputMessage="1" showErrorMessage="1" prompt="Entrez une lettre et personnalisez l’étiquette à droite pour ajouter un élément de clé" sqref="N4 S4" xr:uid="{00000000-0002-0000-0100-000008000000}"/>
    <dataValidation allowBlank="1" showInputMessage="1" showErrorMessage="1" prompt="La lettre « M » indique une absence pour cause de maladie" sqref="J4" xr:uid="{00000000-0002-0000-0100-000009000000}"/>
    <dataValidation allowBlank="1" showInputMessage="1" showErrorMessage="1" prompt="La lettre « P » indique une absence pour motifs personnels" sqref="F4" xr:uid="{00000000-0002-0000-0100-00000A000000}"/>
    <dataValidation allowBlank="1" showInputMessage="1" showErrorMessage="1" prompt="La lettre « C » indique une absence pour cause de congé" sqref="C4" xr:uid="{00000000-0002-0000-0100-00000B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0000000-0002-0000-0100-00000D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525721C9-B345-0C4C-8302-350AF692807F}"/>
    <dataValidation allowBlank="1" showInputMessage="1" showErrorMessage="1" prompt="Cette ligne définit les clés utilisées dans le tableau : la cellule C4 un congé, la G4 personnel, et K4 un congé maladie. Les cellules N4 et R4 sont personnalisables " sqref="B4" xr:uid="{7C2F778E-AA90-4389-BE25-016652C40577}"/>
    <dataValidation allowBlank="1" showInputMessage="1" showErrorMessage="1" prompt="Le titre de la feuille de calcul figure dans cette cellule. " sqref="B1" xr:uid="{3720AAC7-6CB9-46B3-ABB5-C56FB01AC59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gradient="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B9:B13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4" tint="0.499984740745262"/>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27" t="s">
        <v>53</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TEXT(WEEKDAY(DATE(CalendarYear,3,1),1),"jjj")</f>
        <v>mer</v>
      </c>
      <c r="D7" s="23" t="str">
        <f>TEXT(WEEKDAY(DATE(CalendarYear,3,2),1),"jjj")</f>
        <v>jeu</v>
      </c>
      <c r="E7" s="23" t="str">
        <f>TEXT(WEEKDAY(DATE(CalendarYear,3,3),1),"jjj")</f>
        <v>ven</v>
      </c>
      <c r="F7" s="23" t="str">
        <f>TEXT(WEEKDAY(DATE(CalendarYear,3,4),1),"jjj")</f>
        <v>sam</v>
      </c>
      <c r="G7" s="23" t="str">
        <f>TEXT(WEEKDAY(DATE(CalendarYear,3,5),1),"jjj")</f>
        <v>dim</v>
      </c>
      <c r="H7" s="23" t="str">
        <f>TEXT(WEEKDAY(DATE(CalendarYear,3,6),1),"jjj")</f>
        <v>lun</v>
      </c>
      <c r="I7" s="23" t="str">
        <f>TEXT(WEEKDAY(DATE(CalendarYear,3,7),1),"jjj")</f>
        <v>mar</v>
      </c>
      <c r="J7" s="23" t="str">
        <f>TEXT(WEEKDAY(DATE(CalendarYear,3,8),1),"jjj")</f>
        <v>mer</v>
      </c>
      <c r="K7" s="23" t="str">
        <f>TEXT(WEEKDAY(DATE(CalendarYear,3,9),1),"jjj")</f>
        <v>jeu</v>
      </c>
      <c r="L7" s="23" t="str">
        <f>TEXT(WEEKDAY(DATE(CalendarYear,3,10),1),"jjj")</f>
        <v>ven</v>
      </c>
      <c r="M7" s="23" t="str">
        <f>TEXT(WEEKDAY(DATE(CalendarYear,3,11),1),"jjj")</f>
        <v>sam</v>
      </c>
      <c r="N7" s="23" t="str">
        <f>TEXT(WEEKDAY(DATE(CalendarYear,3,12),1),"jjj")</f>
        <v>dim</v>
      </c>
      <c r="O7" s="23" t="str">
        <f>TEXT(WEEKDAY(DATE(CalendarYear,3,13),1),"jjj")</f>
        <v>lun</v>
      </c>
      <c r="P7" s="23" t="str">
        <f>TEXT(WEEKDAY(DATE(CalendarYear,3,14),1),"jjj")</f>
        <v>mar</v>
      </c>
      <c r="Q7" s="23" t="str">
        <f>TEXT(WEEKDAY(DATE(CalendarYear,3,15),1),"jjj")</f>
        <v>mer</v>
      </c>
      <c r="R7" s="23" t="str">
        <f>TEXT(WEEKDAY(DATE(CalendarYear,3,16),1),"jjj")</f>
        <v>jeu</v>
      </c>
      <c r="S7" s="23" t="str">
        <f>TEXT(WEEKDAY(DATE(CalendarYear,3,17),1),"jjj")</f>
        <v>ven</v>
      </c>
      <c r="T7" s="23" t="str">
        <f>TEXT(WEEKDAY(DATE(CalendarYear,3,18),1),"jjj")</f>
        <v>sam</v>
      </c>
      <c r="U7" s="23" t="str">
        <f>TEXT(WEEKDAY(DATE(CalendarYear,3,19),1),"jjj")</f>
        <v>dim</v>
      </c>
      <c r="V7" s="23" t="str">
        <f>TEXT(WEEKDAY(DATE(CalendarYear,3,20),1),"jjj")</f>
        <v>lun</v>
      </c>
      <c r="W7" s="23" t="str">
        <f>TEXT(WEEKDAY(DATE(CalendarYear,3,21),1),"jjj")</f>
        <v>mar</v>
      </c>
      <c r="X7" s="23" t="str">
        <f>TEXT(WEEKDAY(DATE(CalendarYear,3,22),1),"jjj")</f>
        <v>mer</v>
      </c>
      <c r="Y7" s="23" t="str">
        <f>TEXT(WEEKDAY(DATE(CalendarYear,3,23),1),"jjj")</f>
        <v>jeu</v>
      </c>
      <c r="Z7" s="23" t="str">
        <f>TEXT(WEEKDAY(DATE(CalendarYear,3,24),1),"jjj")</f>
        <v>ven</v>
      </c>
      <c r="AA7" s="23" t="str">
        <f>TEXT(WEEKDAY(DATE(CalendarYear,3,25),1),"jjj")</f>
        <v>sam</v>
      </c>
      <c r="AB7" s="23" t="str">
        <f>TEXT(WEEKDAY(DATE(CalendarYear,3,26),1),"jjj")</f>
        <v>dim</v>
      </c>
      <c r="AC7" s="23" t="str">
        <f>TEXT(WEEKDAY(DATE(CalendarYear,3,27),1),"jjj")</f>
        <v>lun</v>
      </c>
      <c r="AD7" s="23" t="str">
        <f>TEXT(WEEKDAY(DATE(CalendarYear,3,28),1),"jjj")</f>
        <v>mar</v>
      </c>
      <c r="AE7" s="23" t="str">
        <f>TEXT(WEEKDAY(DATE(CalendarYear,3,29),1),"jjj")</f>
        <v>mer</v>
      </c>
      <c r="AF7" s="23" t="str">
        <f>TEXT(WEEKDAY(DATE(CalendarYear,3,30),1),"jjj")</f>
        <v>jeu</v>
      </c>
      <c r="AG7" s="23" t="str">
        <f>TEXT(WEEKDAY(DATE(CalendarYear,3,31),1),"jjj")</f>
        <v>ven</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COUNTA(Mars[[#This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COUNTA(Mars[[#This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COUNTA(Mars[[#This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COUNTA(Mars[[#This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COUNTA(Mars[[#This Row],[1]:[31]])</f>
        <v>0</v>
      </c>
    </row>
    <row r="14" spans="2:34" ht="30" customHeight="1">
      <c r="B14" s="5" t="str">
        <f>NomMois&amp;" Total"</f>
        <v>Mars Total</v>
      </c>
      <c r="C14" s="4">
        <f>SUBTOTAL(103,Mars[1])</f>
        <v>0</v>
      </c>
      <c r="D14" s="4">
        <f>SUBTOTAL(103,Mars[2])</f>
        <v>0</v>
      </c>
      <c r="E14" s="4">
        <f>SUBTOTAL(103,Mars[3])</f>
        <v>0</v>
      </c>
      <c r="F14" s="4">
        <f>SUBTOTAL(103,Mars[4])</f>
        <v>0</v>
      </c>
      <c r="G14" s="4">
        <f>SUBTOTAL(103,Mars[5])</f>
        <v>0</v>
      </c>
      <c r="H14" s="4">
        <f>SUBTOTAL(103,Mars[6])</f>
        <v>0</v>
      </c>
      <c r="I14" s="4">
        <f>SUBTOTAL(103,Mars[7])</f>
        <v>0</v>
      </c>
      <c r="J14" s="4">
        <f>SUBTOTAL(103,Mars[8])</f>
        <v>0</v>
      </c>
      <c r="K14" s="4">
        <f>SUBTOTAL(103,Mars[9])</f>
        <v>0</v>
      </c>
      <c r="L14" s="4">
        <f>SUBTOTAL(103,Mars[10])</f>
        <v>0</v>
      </c>
      <c r="M14" s="4">
        <f>SUBTOTAL(103,Mars[11])</f>
        <v>0</v>
      </c>
      <c r="N14" s="4">
        <f>SUBTOTAL(103,Mars[12])</f>
        <v>0</v>
      </c>
      <c r="O14" s="4">
        <f>SUBTOTAL(103,Mars[13])</f>
        <v>0</v>
      </c>
      <c r="P14" s="4">
        <f>SUBTOTAL(103,Mars[14])</f>
        <v>0</v>
      </c>
      <c r="Q14" s="4">
        <f>SUBTOTAL(103,Mars[15])</f>
        <v>0</v>
      </c>
      <c r="R14" s="4">
        <f>SUBTOTAL(103,Mars[16])</f>
        <v>0</v>
      </c>
      <c r="S14" s="4">
        <f>SUBTOTAL(103,Mars[17])</f>
        <v>0</v>
      </c>
      <c r="T14" s="4">
        <f>SUBTOTAL(103,Mars[18])</f>
        <v>0</v>
      </c>
      <c r="U14" s="4">
        <f>SUBTOTAL(103,Mars[19])</f>
        <v>0</v>
      </c>
      <c r="V14" s="4">
        <f>SUBTOTAL(103,Mars[20])</f>
        <v>0</v>
      </c>
      <c r="W14" s="4">
        <f>SUBTOTAL(103,Mars[21])</f>
        <v>0</v>
      </c>
      <c r="X14" s="4">
        <f>SUBTOTAL(103,Mars[22])</f>
        <v>0</v>
      </c>
      <c r="Y14" s="4">
        <f>SUBTOTAL(103,Mars[23])</f>
        <v>0</v>
      </c>
      <c r="Z14" s="4">
        <f>SUBTOTAL(103,Mars[24])</f>
        <v>0</v>
      </c>
      <c r="AA14" s="4">
        <f>SUBTOTAL(103,Mars[25])</f>
        <v>0</v>
      </c>
      <c r="AB14" s="4">
        <f>SUBTOTAL(103,Mars[26])</f>
        <v>0</v>
      </c>
      <c r="AC14" s="4">
        <f>SUBTOTAL(103,Mars[27])</f>
        <v>0</v>
      </c>
      <c r="AD14" s="4">
        <f>SUBTOTAL(103,Mars[28])</f>
        <v>0</v>
      </c>
      <c r="AE14" s="4">
        <f>SUBTOTAL(103,Mars[29])</f>
        <v>0</v>
      </c>
      <c r="AF14" s="4">
        <f>SUBTOTAL(109,Mars[30])</f>
        <v>0</v>
      </c>
      <c r="AG14" s="4">
        <f>SUBTOTAL(109,Mars[31])</f>
        <v>0</v>
      </c>
      <c r="AH14" s="4">
        <f>SUBTOTAL(109,Mars[Total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49" priority="2" stopIfTrue="1">
      <formula>C9=CléPersonnalisée2</formula>
    </cfRule>
    <cfRule type="expression" dxfId="48" priority="3" stopIfTrue="1">
      <formula>C9=CléPersonnalisée1</formula>
    </cfRule>
    <cfRule type="expression" dxfId="47" priority="4" stopIfTrue="1">
      <formula>C9=CléMaladie</formula>
    </cfRule>
    <cfRule type="expression" dxfId="46" priority="5" stopIfTrue="1">
      <formula>C9=CléPersonnel</formula>
    </cfRule>
    <cfRule type="expression" dxfId="45"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0000000-0002-0000-0200-000000000000}"/>
    <dataValidation allowBlank="1" showInputMessage="1" showErrorMessage="1" prompt="Entrez une étiquette pour décrire la clé personnalisée à gauche" sqref="O4 T4" xr:uid="{C259D4FA-EFC5-4A68-B19D-B2ABB2CD8AA3}"/>
    <dataValidation allowBlank="1" showInputMessage="1" showErrorMessage="1" prompt="Entrez une lettre et personnalisez l’étiquette à droite pour ajouter un élément de clé" sqref="N4 S4" xr:uid="{08625C48-15BB-4FA8-954D-1B222B157A3E}"/>
    <dataValidation allowBlank="1" showInputMessage="1" showErrorMessage="1" prompt="La lettre « M » indique une absence pour cause de maladie" sqref="J4" xr:uid="{96F69303-F6FE-44FD-A210-1D42F5D73A95}"/>
    <dataValidation allowBlank="1" showInputMessage="1" showErrorMessage="1" prompt="La lettre « P » indique une absence pour motifs personnels" sqref="F4" xr:uid="{235D0AB5-726C-4102-AB7F-E7ED07624B89}"/>
    <dataValidation allowBlank="1" showInputMessage="1" showErrorMessage="1" prompt="La lettre « C » indique une absence pour cause de congé" sqref="C4" xr:uid="{935801C1-4E7B-4225-B6D2-5428CEFF66CB}"/>
    <dataValidation allowBlank="1" showInputMessage="1" showErrorMessage="1" prompt="Le titre mis à jour automatiquement figure dans cette cellule. Pour modifier le titre, mettez à jour la cellule B1 de la feuille de calcul Janvier" sqref="B2"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E46101B5-4A18-414B-9169-B2F7AB28F054}"/>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8" xr:uid="{70BD9EEE-E1FD-D147-919D-901970D7AADE}"/>
    <dataValidation allowBlank="1" showInputMessage="1" showErrorMessage="1" prompt="Année mise à jour automatiquement en fonction de l’année entrée dans la feuille de calcul Janvier" sqref="AH6" xr:uid="{A06F72EE-346E-CD4A-B706-B1500A526D8A}"/>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2C7B989-E77F-4A4F-82FD-F03860560B2B}"/>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200-000002000000}"/>
    <dataValidation allowBlank="1" showInputMessage="1" showErrorMessage="1" prompt="Cette ligne définit les clés utilisées dans le tableau : la cellule C4 un congé, la G4 personnel, et K4 un congé maladie. Les cellules N4 et R4 sont personnalisables " sqref="B4" xr:uid="{9A98B74B-4764-403E-92AD-9C10299A10A6}"/>
    <dataValidation allowBlank="1" showInputMessage="1" showErrorMessage="1" prompt="Le titre de la feuille de calcul figure dans cette cellule. " sqref="B1" xr:uid="{40DFEC58-0648-4944-BD5A-E9153E7FE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B9:B13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4" tint="0.499984740745262"/>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28" t="s">
        <v>54</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TEXT(WEEKDAY(DATE(CalendarYear,4,1),1),"jjj")</f>
        <v>sam</v>
      </c>
      <c r="D7" s="23" t="str">
        <f>TEXT(WEEKDAY(DATE(CalendarYear,4,2),1),"jjj")</f>
        <v>dim</v>
      </c>
      <c r="E7" s="23" t="str">
        <f>TEXT(WEEKDAY(DATE(CalendarYear,4,3),1),"jjj")</f>
        <v>lun</v>
      </c>
      <c r="F7" s="23" t="str">
        <f>TEXT(WEEKDAY(DATE(CalendarYear,4,4),1),"jjj")</f>
        <v>mar</v>
      </c>
      <c r="G7" s="23" t="str">
        <f>TEXT(WEEKDAY(DATE(CalendarYear,4,5),1),"jjj")</f>
        <v>mer</v>
      </c>
      <c r="H7" s="23" t="str">
        <f>TEXT(WEEKDAY(DATE(CalendarYear,4,6),1),"jjj")</f>
        <v>jeu</v>
      </c>
      <c r="I7" s="23" t="str">
        <f>TEXT(WEEKDAY(DATE(CalendarYear,4,7),1),"jjj")</f>
        <v>ven</v>
      </c>
      <c r="J7" s="23" t="str">
        <f>TEXT(WEEKDAY(DATE(CalendarYear,4,8),1),"jjj")</f>
        <v>sam</v>
      </c>
      <c r="K7" s="23" t="str">
        <f>TEXT(WEEKDAY(DATE(CalendarYear,4,9),1),"jjj")</f>
        <v>dim</v>
      </c>
      <c r="L7" s="23" t="str">
        <f>TEXT(WEEKDAY(DATE(CalendarYear,4,10),1),"jjj")</f>
        <v>lun</v>
      </c>
      <c r="M7" s="23" t="str">
        <f>TEXT(WEEKDAY(DATE(CalendarYear,4,11),1),"jjj")</f>
        <v>mar</v>
      </c>
      <c r="N7" s="23" t="str">
        <f>TEXT(WEEKDAY(DATE(CalendarYear,4,12),1),"jjj")</f>
        <v>mer</v>
      </c>
      <c r="O7" s="23" t="str">
        <f>TEXT(WEEKDAY(DATE(CalendarYear,4,13),1),"jjj")</f>
        <v>jeu</v>
      </c>
      <c r="P7" s="23" t="str">
        <f>TEXT(WEEKDAY(DATE(CalendarYear,4,14),1),"jjj")</f>
        <v>ven</v>
      </c>
      <c r="Q7" s="23" t="str">
        <f>TEXT(WEEKDAY(DATE(CalendarYear,4,15),1),"jjj")</f>
        <v>sam</v>
      </c>
      <c r="R7" s="23" t="str">
        <f>TEXT(WEEKDAY(DATE(CalendarYear,4,16),1),"jjj")</f>
        <v>dim</v>
      </c>
      <c r="S7" s="23" t="str">
        <f>TEXT(WEEKDAY(DATE(CalendarYear,4,17),1),"jjj")</f>
        <v>lun</v>
      </c>
      <c r="T7" s="23" t="str">
        <f>TEXT(WEEKDAY(DATE(CalendarYear,4,18),1),"jjj")</f>
        <v>mar</v>
      </c>
      <c r="U7" s="23" t="str">
        <f>TEXT(WEEKDAY(DATE(CalendarYear,4,19),1),"jjj")</f>
        <v>mer</v>
      </c>
      <c r="V7" s="23" t="str">
        <f>TEXT(WEEKDAY(DATE(CalendarYear,4,20),1),"jjj")</f>
        <v>jeu</v>
      </c>
      <c r="W7" s="23" t="str">
        <f>TEXT(WEEKDAY(DATE(CalendarYear,4,21),1),"jjj")</f>
        <v>ven</v>
      </c>
      <c r="X7" s="23" t="str">
        <f>TEXT(WEEKDAY(DATE(CalendarYear,4,22),1),"jjj")</f>
        <v>sam</v>
      </c>
      <c r="Y7" s="23" t="str">
        <f>TEXT(WEEKDAY(DATE(CalendarYear,4,23),1),"jjj")</f>
        <v>dim</v>
      </c>
      <c r="Z7" s="23" t="str">
        <f>TEXT(WEEKDAY(DATE(CalendarYear,4,24),1),"jjj")</f>
        <v>lun</v>
      </c>
      <c r="AA7" s="23" t="str">
        <f>TEXT(WEEKDAY(DATE(CalendarYear,4,25),1),"jjj")</f>
        <v>mar</v>
      </c>
      <c r="AB7" s="23" t="str">
        <f>TEXT(WEEKDAY(DATE(CalendarYear,4,26),1),"jjj")</f>
        <v>mer</v>
      </c>
      <c r="AC7" s="23" t="str">
        <f>TEXT(WEEKDAY(DATE(CalendarYear,4,27),1),"jjj")</f>
        <v>jeu</v>
      </c>
      <c r="AD7" s="23" t="str">
        <f>TEXT(WEEKDAY(DATE(CalendarYear,4,28),1),"jjj")</f>
        <v>ven</v>
      </c>
      <c r="AE7" s="23" t="str">
        <f>TEXT(WEEKDAY(DATE(CalendarYear,4,29),1),"jjj")</f>
        <v>sam</v>
      </c>
      <c r="AF7" s="23" t="str">
        <f>TEXT(WEEKDAY(DATE(CalendarYear,4,30),1),"jjj")</f>
        <v>dim</v>
      </c>
      <c r="AG7" s="23"/>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51</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COUNTA(March5[[#This Row],[1]:[ ]])</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COUNTA(March5[[#This Row],[1]:[ ]])</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COUNTA(March5[[#This Row],[1]:[ ]])</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COUNTA(March5[[#This Row],[1]:[ ]])</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COUNTA(March5[[#This Row],[1]:[ ]])</f>
        <v>0</v>
      </c>
    </row>
    <row r="14" spans="2:34" ht="30" customHeight="1">
      <c r="B14" s="5" t="str">
        <f>NomMois&amp;" Total"</f>
        <v>Avril Total</v>
      </c>
      <c r="C14" s="4">
        <f>SUBTOTAL(103,March5[1])</f>
        <v>0</v>
      </c>
      <c r="D14" s="4">
        <f>SUBTOTAL(103,March5[2])</f>
        <v>0</v>
      </c>
      <c r="E14" s="4">
        <f>SUBTOTAL(103,March5[3])</f>
        <v>0</v>
      </c>
      <c r="F14" s="4">
        <f>SUBTOTAL(103,March5[4])</f>
        <v>0</v>
      </c>
      <c r="G14" s="4">
        <f>SUBTOTAL(103,March5[5])</f>
        <v>0</v>
      </c>
      <c r="H14" s="4">
        <f>SUBTOTAL(103,March5[6])</f>
        <v>0</v>
      </c>
      <c r="I14" s="4">
        <f>SUBTOTAL(103,March5[7])</f>
        <v>0</v>
      </c>
      <c r="J14" s="4">
        <f>SUBTOTAL(103,March5[8])</f>
        <v>0</v>
      </c>
      <c r="K14" s="4">
        <f>SUBTOTAL(103,March5[9])</f>
        <v>0</v>
      </c>
      <c r="L14" s="4">
        <f>SUBTOTAL(103,March5[10])</f>
        <v>0</v>
      </c>
      <c r="M14" s="4">
        <f>SUBTOTAL(103,March5[11])</f>
        <v>0</v>
      </c>
      <c r="N14" s="4">
        <f>SUBTOTAL(103,March5[12])</f>
        <v>0</v>
      </c>
      <c r="O14" s="4">
        <f>SUBTOTAL(103,March5[13])</f>
        <v>0</v>
      </c>
      <c r="P14" s="4">
        <f>SUBTOTAL(103,March5[14])</f>
        <v>0</v>
      </c>
      <c r="Q14" s="4">
        <f>SUBTOTAL(103,March5[15])</f>
        <v>0</v>
      </c>
      <c r="R14" s="4">
        <f>SUBTOTAL(103,March5[16])</f>
        <v>0</v>
      </c>
      <c r="S14" s="4">
        <f>SUBTOTAL(103,March5[17])</f>
        <v>0</v>
      </c>
      <c r="T14" s="4">
        <f>SUBTOTAL(103,March5[18])</f>
        <v>0</v>
      </c>
      <c r="U14" s="4">
        <f>SUBTOTAL(103,March5[19])</f>
        <v>0</v>
      </c>
      <c r="V14" s="4">
        <f>SUBTOTAL(103,March5[20])</f>
        <v>0</v>
      </c>
      <c r="W14" s="4">
        <f>SUBTOTAL(103,March5[21])</f>
        <v>0</v>
      </c>
      <c r="X14" s="4">
        <f>SUBTOTAL(103,March5[22])</f>
        <v>0</v>
      </c>
      <c r="Y14" s="4">
        <f>SUBTOTAL(103,March5[23])</f>
        <v>0</v>
      </c>
      <c r="Z14" s="4">
        <f>SUBTOTAL(103,March5[24])</f>
        <v>0</v>
      </c>
      <c r="AA14" s="4">
        <f>SUBTOTAL(103,March5[25])</f>
        <v>0</v>
      </c>
      <c r="AB14" s="4">
        <f>SUBTOTAL(103,March5[26])</f>
        <v>0</v>
      </c>
      <c r="AC14" s="4">
        <f>SUBTOTAL(103,March5[27])</f>
        <v>0</v>
      </c>
      <c r="AD14" s="4">
        <f>SUBTOTAL(103,March5[28])</f>
        <v>0</v>
      </c>
      <c r="AE14" s="4">
        <f>SUBTOTAL(103,March5[29])</f>
        <v>0</v>
      </c>
      <c r="AF14" s="4">
        <f>SUBTOTAL(109,March5[30])</f>
        <v>0</v>
      </c>
      <c r="AG14" s="4">
        <f>SUBTOTAL(109,March5[[ ]])</f>
        <v>0</v>
      </c>
      <c r="AH14" s="4">
        <f>SUBTOTAL(109,March5[Total des jours])</f>
        <v>0</v>
      </c>
    </row>
  </sheetData>
  <mergeCells count="6">
    <mergeCell ref="C6:AG6"/>
    <mergeCell ref="D4:E4"/>
    <mergeCell ref="G4:I4"/>
    <mergeCell ref="K4:L4"/>
    <mergeCell ref="O4:R4"/>
    <mergeCell ref="T4:W4"/>
  </mergeCells>
  <phoneticPr fontId="7" type="noConversion"/>
  <conditionalFormatting sqref="C9:AG13">
    <cfRule type="expression" priority="1" stopIfTrue="1">
      <formula>C9=""</formula>
    </cfRule>
    <cfRule type="expression" dxfId="44" priority="2" stopIfTrue="1">
      <formula>C9=CléPersonnalisée2</formula>
    </cfRule>
    <cfRule type="expression" dxfId="43" priority="3" stopIfTrue="1">
      <formula>C9=CléPersonnalisée1</formula>
    </cfRule>
    <cfRule type="expression" dxfId="42" priority="4" stopIfTrue="1">
      <formula>C9=CléMaladie</formula>
    </cfRule>
    <cfRule type="expression" dxfId="41" priority="5" stopIfTrue="1">
      <formula>C9=CléPersonnel</formula>
    </cfRule>
    <cfRule type="expression" dxfId="40"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{C6C51CE4-E5A5-6548-B677-75BFC57A1AE7}</x14:id>
        </ext>
      </extLst>
    </cfRule>
  </conditionalFormatting>
  <dataValidations count="15">
    <dataValidation allowBlank="1" showInputMessage="1" showErrorMessage="1" prompt="L’année est mise à jour automatiquement en fonction de l’année entrée dans la feuille de calcul Janvier" sqref="AH6" xr:uid="{D534D450-4040-4C4B-ACFB-E0820ABC2CFC}"/>
    <dataValidation allowBlank="1" showInputMessage="1" showErrorMessage="1" prompt="Calcule automatiquement le nombre total de jours d’absence d’un employé ce mois-ci dans cette colonne" sqref="AH8" xr:uid="{DC341019-F88D-494A-80A9-FE7E975A286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F36BC021-F71B-E743-A612-BDD36FE48F9B}"/>
    <dataValidation allowBlank="1" showInputMessage="1" showErrorMessage="1" prompt="Le titre mis à jour automatiquement figure dans cette cellule. Pour modifier le titre, mettez à jour la cellule B1 de la feuille de calcul Janvier" sqref="B2" xr:uid="{FC807180-F3E3-414D-9702-8FBC5210B550}"/>
    <dataValidation allowBlank="1" showInputMessage="1" showErrorMessage="1" prompt="La lettre « C » indique une absence pour cause de congé" sqref="C4" xr:uid="{6B56B519-F497-46EA-BD80-ECA7FA861123}"/>
    <dataValidation allowBlank="1" showInputMessage="1" showErrorMessage="1" prompt="La lettre « P » indique une absence pour motifs personnels" sqref="F4" xr:uid="{63CA5573-364B-459E-A319-C67DFBC7D283}"/>
    <dataValidation allowBlank="1" showInputMessage="1" showErrorMessage="1" prompt="La lettre « M » indique une absence pour cause de maladie" sqref="J4" xr:uid="{9044F4DB-C555-4C53-B9F3-5B4B457A8928}"/>
    <dataValidation allowBlank="1" showInputMessage="1" showErrorMessage="1" prompt="Entrez une lettre et personnalisez l’étiquette à droite pour ajouter un élément de clé" sqref="N4 S4" xr:uid="{3105AB2C-AD70-4440-90ED-C247E8B467B4}"/>
    <dataValidation allowBlank="1" showInputMessage="1" showErrorMessage="1" prompt="Entrez une étiquette pour décrire la clé personnalisée à gauche" sqref="O4 T4" xr:uid="{8E4CE415-8F33-4BC8-845F-11FDB694EF67}"/>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8A4BB08A-5DC1-A74C-9332-E844D960CD4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xr:uid="{D8726BCE-956C-3B41-916D-0B0F98B156A4}"/>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492FF65C-4A5C-D048-AC41-58954D7E6423}"/>
    <dataValidation allowBlank="1" showInputMessage="1" showErrorMessage="1" prompt="Suivez les absences du mois de mars dans cette feuille de calcul" sqref="A1" xr:uid="{9C29030B-C671-584C-88AB-6E5DAA9E8710}"/>
    <dataValidation allowBlank="1" showInputMessage="1" showErrorMessage="1" prompt="Cette ligne définit les clés utilisées dans le tableau : la cellule C4 un congé, la G4 personnel, et K4 un congé maladie. Les cellules N4 et R4 sont personnalisables " sqref="B4" xr:uid="{5938E394-FC66-4AD8-81BE-3B6CE81FAFA6}"/>
    <dataValidation allowBlank="1" showInputMessage="1" showErrorMessage="1" prompt="Le titre de la feuille de calcul figure dans cette cellule. " sqref="B1" xr:uid="{CFDFBA1E-67F5-48E1-9539-54C88919AFD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6C51CE4-E5A5-6548-B677-75BFC57A1AE7}">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8A0626E6-C18A-DC42-8971-E3030B4FEB3F}">
          <x14:formula1>
            <xm:f>'Noms des employés'!$B$4:$B$8</xm:f>
          </x14:formula1>
          <xm:sqref>B9:B13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4" tint="0.499984740745262"/>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28" t="s">
        <v>55</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TEXT(WEEKDAY(DATE(CalendarYear,5,1),1),"jjj")</f>
        <v>lun</v>
      </c>
      <c r="D7" s="23" t="str">
        <f>TEXT(WEEKDAY(DATE(CalendarYear,5,2),1),"jjj")</f>
        <v>mar</v>
      </c>
      <c r="E7" s="23" t="str">
        <f>TEXT(WEEKDAY(DATE(CalendarYear,5,3),1),"jjj")</f>
        <v>mer</v>
      </c>
      <c r="F7" s="23" t="str">
        <f>TEXT(WEEKDAY(DATE(CalendarYear,5,4),1),"jjj")</f>
        <v>jeu</v>
      </c>
      <c r="G7" s="23" t="str">
        <f>TEXT(WEEKDAY(DATE(CalendarYear,5,5),1),"jjj")</f>
        <v>ven</v>
      </c>
      <c r="H7" s="23" t="str">
        <f>TEXT(WEEKDAY(DATE(CalendarYear,5,6),1),"jjj")</f>
        <v>sam</v>
      </c>
      <c r="I7" s="23" t="str">
        <f>TEXT(WEEKDAY(DATE(CalendarYear,5,7),1),"jjj")</f>
        <v>dim</v>
      </c>
      <c r="J7" s="23" t="str">
        <f>TEXT(WEEKDAY(DATE(CalendarYear,5,8),1),"jjj")</f>
        <v>lun</v>
      </c>
      <c r="K7" s="23" t="str">
        <f>TEXT(WEEKDAY(DATE(CalendarYear,5,9),1),"jjj")</f>
        <v>mar</v>
      </c>
      <c r="L7" s="23" t="str">
        <f>TEXT(WEEKDAY(DATE(CalendarYear,5,10),1),"jjj")</f>
        <v>mer</v>
      </c>
      <c r="M7" s="23" t="str">
        <f>TEXT(WEEKDAY(DATE(CalendarYear,5,11),1),"jjj")</f>
        <v>jeu</v>
      </c>
      <c r="N7" s="23" t="str">
        <f>TEXT(WEEKDAY(DATE(CalendarYear,5,12),1),"jjj")</f>
        <v>ven</v>
      </c>
      <c r="O7" s="23" t="str">
        <f>TEXT(WEEKDAY(DATE(CalendarYear,5,13),1),"jjj")</f>
        <v>sam</v>
      </c>
      <c r="P7" s="23" t="str">
        <f>TEXT(WEEKDAY(DATE(CalendarYear,5,14),1),"jjj")</f>
        <v>dim</v>
      </c>
      <c r="Q7" s="23" t="str">
        <f>TEXT(WEEKDAY(DATE(CalendarYear,5,15),1),"jjj")</f>
        <v>lun</v>
      </c>
      <c r="R7" s="23" t="str">
        <f>TEXT(WEEKDAY(DATE(CalendarYear,5,16),1),"jjj")</f>
        <v>mar</v>
      </c>
      <c r="S7" s="23" t="str">
        <f>TEXT(WEEKDAY(DATE(CalendarYear,5,17),1),"jjj")</f>
        <v>mer</v>
      </c>
      <c r="T7" s="23" t="str">
        <f>TEXT(WEEKDAY(DATE(CalendarYear,5,18),1),"jjj")</f>
        <v>jeu</v>
      </c>
      <c r="U7" s="23" t="str">
        <f>TEXT(WEEKDAY(DATE(CalendarYear,5,19),1),"jjj")</f>
        <v>ven</v>
      </c>
      <c r="V7" s="23" t="str">
        <f>TEXT(WEEKDAY(DATE(CalendarYear,5,20),1),"jjj")</f>
        <v>sam</v>
      </c>
      <c r="W7" s="23" t="str">
        <f>TEXT(WEEKDAY(DATE(CalendarYear,5,21),1),"jjj")</f>
        <v>dim</v>
      </c>
      <c r="X7" s="23" t="str">
        <f>TEXT(WEEKDAY(DATE(CalendarYear,5,22),1),"jjj")</f>
        <v>lun</v>
      </c>
      <c r="Y7" s="23" t="str">
        <f>TEXT(WEEKDAY(DATE(CalendarYear,5,23),1),"jjj")</f>
        <v>mar</v>
      </c>
      <c r="Z7" s="23" t="str">
        <f>TEXT(WEEKDAY(DATE(CalendarYear,5,24),1),"jjj")</f>
        <v>mer</v>
      </c>
      <c r="AA7" s="23" t="str">
        <f>TEXT(WEEKDAY(DATE(CalendarYear,5,25),1),"jjj")</f>
        <v>jeu</v>
      </c>
      <c r="AB7" s="23" t="str">
        <f>TEXT(WEEKDAY(DATE(CalendarYear,5,26),1),"jjj")</f>
        <v>ven</v>
      </c>
      <c r="AC7" s="23" t="str">
        <f>TEXT(WEEKDAY(DATE(CalendarYear,5,27),1),"jjj")</f>
        <v>sam</v>
      </c>
      <c r="AD7" s="23" t="str">
        <f>TEXT(WEEKDAY(DATE(CalendarYear,5,28),1),"jjj")</f>
        <v>dim</v>
      </c>
      <c r="AE7" s="23" t="str">
        <f>TEXT(WEEKDAY(DATE(CalendarYear,5,29),1),"jjj")</f>
        <v>lun</v>
      </c>
      <c r="AF7" s="23" t="str">
        <f>TEXT(WEEKDAY(DATE(CalendarYear,5,30),1),"jjj")</f>
        <v>mar</v>
      </c>
      <c r="AG7" s="23" t="str">
        <f>TEXT(WEEKDAY(DATE(CalendarYear,5,31),1),"jjj")</f>
        <v>mer</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COUNTA(March58[[#This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COUNTA(March58[[#This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COUNTA(March58[[#This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COUNTA(March58[[#This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COUNTA(March58[[#This Row],[1]:[31]])</f>
        <v>0</v>
      </c>
    </row>
    <row r="14" spans="2:34" ht="30" customHeight="1">
      <c r="B14" s="5" t="str">
        <f>NomMois&amp;" Total"</f>
        <v>Clé de motif d’absence Total</v>
      </c>
      <c r="C14" s="4">
        <f>SUBTOTAL(103,March58[1])</f>
        <v>0</v>
      </c>
      <c r="D14" s="4">
        <f>SUBTOTAL(103,March58[2])</f>
        <v>0</v>
      </c>
      <c r="E14" s="4">
        <f>SUBTOTAL(103,March58[3])</f>
        <v>0</v>
      </c>
      <c r="F14" s="4">
        <f>SUBTOTAL(103,March58[4])</f>
        <v>0</v>
      </c>
      <c r="G14" s="4">
        <f>SUBTOTAL(103,March58[5])</f>
        <v>0</v>
      </c>
      <c r="H14" s="4">
        <f>SUBTOTAL(103,March58[6])</f>
        <v>0</v>
      </c>
      <c r="I14" s="4">
        <f>SUBTOTAL(103,March58[7])</f>
        <v>0</v>
      </c>
      <c r="J14" s="4">
        <f>SUBTOTAL(103,March58[8])</f>
        <v>0</v>
      </c>
      <c r="K14" s="4">
        <f>SUBTOTAL(103,March58[9])</f>
        <v>0</v>
      </c>
      <c r="L14" s="4">
        <f>SUBTOTAL(103,March58[10])</f>
        <v>0</v>
      </c>
      <c r="M14" s="4">
        <f>SUBTOTAL(103,March58[11])</f>
        <v>0</v>
      </c>
      <c r="N14" s="4">
        <f>SUBTOTAL(103,March58[12])</f>
        <v>0</v>
      </c>
      <c r="O14" s="4">
        <f>SUBTOTAL(103,March58[13])</f>
        <v>0</v>
      </c>
      <c r="P14" s="4">
        <f>SUBTOTAL(103,March58[14])</f>
        <v>0</v>
      </c>
      <c r="Q14" s="4">
        <f>SUBTOTAL(103,March58[15])</f>
        <v>0</v>
      </c>
      <c r="R14" s="4">
        <f>SUBTOTAL(103,March58[16])</f>
        <v>0</v>
      </c>
      <c r="S14" s="4">
        <f>SUBTOTAL(103,March58[17])</f>
        <v>0</v>
      </c>
      <c r="T14" s="4">
        <f>SUBTOTAL(103,March58[18])</f>
        <v>0</v>
      </c>
      <c r="U14" s="4">
        <f>SUBTOTAL(103,March58[19])</f>
        <v>0</v>
      </c>
      <c r="V14" s="4">
        <f>SUBTOTAL(103,March58[20])</f>
        <v>0</v>
      </c>
      <c r="W14" s="4">
        <f>SUBTOTAL(103,March58[21])</f>
        <v>0</v>
      </c>
      <c r="X14" s="4">
        <f>SUBTOTAL(103,March58[22])</f>
        <v>0</v>
      </c>
      <c r="Y14" s="4">
        <f>SUBTOTAL(103,March58[23])</f>
        <v>0</v>
      </c>
      <c r="Z14" s="4">
        <f>SUBTOTAL(103,March58[24])</f>
        <v>0</v>
      </c>
      <c r="AA14" s="4">
        <f>SUBTOTAL(103,March58[25])</f>
        <v>0</v>
      </c>
      <c r="AB14" s="4">
        <f>SUBTOTAL(103,March58[26])</f>
        <v>0</v>
      </c>
      <c r="AC14" s="4">
        <f>SUBTOTAL(103,March58[27])</f>
        <v>0</v>
      </c>
      <c r="AD14" s="4">
        <f>SUBTOTAL(103,March58[28])</f>
        <v>0</v>
      </c>
      <c r="AE14" s="4">
        <f>SUBTOTAL(103,March58[29])</f>
        <v>0</v>
      </c>
      <c r="AF14" s="4">
        <f>SUBTOTAL(109,March58[30])</f>
        <v>0</v>
      </c>
      <c r="AG14" s="4">
        <f>SUBTOTAL(109,March58[31])</f>
        <v>0</v>
      </c>
      <c r="AH14" s="4">
        <f>SUBTOTAL(109,March58[Total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39" priority="2" stopIfTrue="1">
      <formula>C9=CléPersonnalisée2</formula>
    </cfRule>
    <cfRule type="expression" dxfId="38" priority="3" stopIfTrue="1">
      <formula>C9=CléPersonnalisée1</formula>
    </cfRule>
    <cfRule type="expression" dxfId="37" priority="4" stopIfTrue="1">
      <formula>C9=CléMaladie</formula>
    </cfRule>
    <cfRule type="expression" dxfId="36" priority="5" stopIfTrue="1">
      <formula>C9=CléPersonnel</formula>
    </cfRule>
    <cfRule type="expression" dxfId="35"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{A375B1A4-CE4E-6D4B-BAE6-14354F30C96E}</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335D4725-041B-2E47-BBA9-5D657DA932CD}"/>
    <dataValidation allowBlank="1" showInputMessage="1" showErrorMessage="1" prompt="Entrez une étiquette pour décrire la clé personnalisée à gauche" sqref="O4 T4" xr:uid="{39E750BB-3C33-4365-9649-0A5638D99C95}"/>
    <dataValidation allowBlank="1" showInputMessage="1" showErrorMessage="1" prompt="Entrez une lettre et personnalisez l’étiquette à droite pour ajouter un élément de clé" sqref="N4 S4" xr:uid="{2066E343-3D3C-4AC5-A651-6AFF77622259}"/>
    <dataValidation allowBlank="1" showInputMessage="1" showErrorMessage="1" prompt="La lettre « M » indique une absence pour cause de maladie" sqref="J4" xr:uid="{254D7049-6941-4BBC-84BF-BFF2AEC08241}"/>
    <dataValidation allowBlank="1" showInputMessage="1" showErrorMessage="1" prompt="La lettre « P » indique une absence pour motifs personnels" sqref="F4" xr:uid="{C2387A68-B37F-4151-B614-E83E861E0D6C}"/>
    <dataValidation allowBlank="1" showInputMessage="1" showErrorMessage="1" prompt="La lettre « C » indique une absence pour cause de congé" sqref="C4" xr:uid="{A9B347A3-4E7D-47B5-BAFA-E686B9F604A9}"/>
    <dataValidation allowBlank="1" showInputMessage="1" showErrorMessage="1" prompt="Le titre mis à jour automatiquement figure dans cette cellule. Pour modifier le titre, mettez à jour la cellule B1 de la feuille de calcul Janvier" sqref="B2" xr:uid="{AF65042B-CFA9-EE45-B22D-BF607EFD23A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5151223E-F15A-CC42-BB59-D2CDBDCF3261}"/>
    <dataValidation allowBlank="1" showInputMessage="1" showErrorMessage="1" prompt="Calcule automatiquement le nombre total de jours d’absence d’un employé ce mois-ci dans cette colonne" sqref="AH8" xr:uid="{AA6AB7B7-5D91-F64F-B211-A848209375D2}"/>
    <dataValidation allowBlank="1" showInputMessage="1" showErrorMessage="1" prompt="Année mise à jour automatiquement en fonction de l’année entrée dans la feuille de calcul Janvier" sqref="AH6" xr:uid="{B487DEDD-C1B1-7244-96C6-F378FEF21F51}"/>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1F3DA31-27D6-FF4D-B48B-4013BF344DCF}"/>
    <dataValidation allowBlank="1" showInputMessage="1" showErrorMessage="1" prompt="Suivez les absences du mois de mars dans cette feuille de calcul" sqref="A1" xr:uid="{13CF1C37-090E-F24B-AF68-CAE6199B19C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B5AA8D04-FE35-8C4F-90FD-347160FC6301}"/>
    <dataValidation allowBlank="1" showInputMessage="1" showErrorMessage="1" prompt="Cette ligne définit les clés utilisées dans le tableau : la cellule C4 un congé, la G4 personnel, et K4 un congé maladie. Les cellules N4 et R4 sont personnalisables " sqref="B4" xr:uid="{E5AF47AE-EACF-4382-8995-97EA4D653F4A}"/>
    <dataValidation allowBlank="1" showInputMessage="1" showErrorMessage="1" prompt="Le titre de la feuille de calcul figure dans cette cellule. " sqref="B1" xr:uid="{4F7FEADB-B66E-49E8-AD11-DB789AA552A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375B1A4-CE4E-6D4B-BAE6-14354F30C96E}">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1B1DACF-B091-8040-A452-F5B0F1F6A6F7}">
          <x14:formula1>
            <xm:f>'Noms des employés'!$B$4:$B$8</xm:f>
          </x14:formula1>
          <xm:sqref>B9:B13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8"/>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3" t="s">
        <v>56</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TEXT(WEEKDAY(DATE(CalendarYear,6,1),1),"jjj")</f>
        <v>jeu</v>
      </c>
      <c r="D7" s="23" t="str">
        <f>TEXT(WEEKDAY(DATE(CalendarYear,6,2),1),"jjj")</f>
        <v>ven</v>
      </c>
      <c r="E7" s="23" t="str">
        <f>TEXT(WEEKDAY(DATE(CalendarYear,6,3),1),"jjj")</f>
        <v>sam</v>
      </c>
      <c r="F7" s="23" t="str">
        <f>TEXT(WEEKDAY(DATE(CalendarYear,6,4),1),"jjj")</f>
        <v>dim</v>
      </c>
      <c r="G7" s="23" t="str">
        <f>TEXT(WEEKDAY(DATE(CalendarYear,6,5),1),"jjj")</f>
        <v>lun</v>
      </c>
      <c r="H7" s="23" t="str">
        <f>TEXT(WEEKDAY(DATE(CalendarYear,6,6),1),"jjj")</f>
        <v>mar</v>
      </c>
      <c r="I7" s="23" t="str">
        <f>TEXT(WEEKDAY(DATE(CalendarYear,6,7),1),"jjj")</f>
        <v>mer</v>
      </c>
      <c r="J7" s="23" t="str">
        <f>TEXT(WEEKDAY(DATE(CalendarYear,6,8),1),"jjj")</f>
        <v>jeu</v>
      </c>
      <c r="K7" s="23" t="str">
        <f>TEXT(WEEKDAY(DATE(CalendarYear,6,9),1),"jjj")</f>
        <v>ven</v>
      </c>
      <c r="L7" s="23" t="str">
        <f>TEXT(WEEKDAY(DATE(CalendarYear,6,10),1),"jjj")</f>
        <v>sam</v>
      </c>
      <c r="M7" s="23" t="str">
        <f>TEXT(WEEKDAY(DATE(CalendarYear,6,11),1),"jjj")</f>
        <v>dim</v>
      </c>
      <c r="N7" s="23" t="str">
        <f>TEXT(WEEKDAY(DATE(CalendarYear,6,12),1),"jjj")</f>
        <v>lun</v>
      </c>
      <c r="O7" s="23" t="str">
        <f>TEXT(WEEKDAY(DATE(CalendarYear,6,13),1),"jjj")</f>
        <v>mar</v>
      </c>
      <c r="P7" s="23" t="str">
        <f>TEXT(WEEKDAY(DATE(CalendarYear,6,14),1),"jjj")</f>
        <v>mer</v>
      </c>
      <c r="Q7" s="23" t="str">
        <f>TEXT(WEEKDAY(DATE(CalendarYear,6,15),1),"jjj")</f>
        <v>jeu</v>
      </c>
      <c r="R7" s="23" t="str">
        <f>TEXT(WEEKDAY(DATE(CalendarYear,6,16),1),"jjj")</f>
        <v>ven</v>
      </c>
      <c r="S7" s="23" t="str">
        <f>TEXT(WEEKDAY(DATE(CalendarYear,6,17),1),"jjj")</f>
        <v>sam</v>
      </c>
      <c r="T7" s="23" t="str">
        <f>TEXT(WEEKDAY(DATE(CalendarYear,6,18),1),"jjj")</f>
        <v>dim</v>
      </c>
      <c r="U7" s="23" t="str">
        <f>TEXT(WEEKDAY(DATE(CalendarYear,6,19),1),"jjj")</f>
        <v>lun</v>
      </c>
      <c r="V7" s="23" t="str">
        <f>TEXT(WEEKDAY(DATE(CalendarYear,6,20),1),"jjj")</f>
        <v>mar</v>
      </c>
      <c r="W7" s="23" t="str">
        <f>TEXT(WEEKDAY(DATE(CalendarYear,6,21),1),"jjj")</f>
        <v>mer</v>
      </c>
      <c r="X7" s="23" t="str">
        <f>TEXT(WEEKDAY(DATE(CalendarYear,6,22),1),"jjj")</f>
        <v>jeu</v>
      </c>
      <c r="Y7" s="23" t="str">
        <f>TEXT(WEEKDAY(DATE(CalendarYear,6,23),1),"jjj")</f>
        <v>ven</v>
      </c>
      <c r="Z7" s="23" t="str">
        <f>TEXT(WEEKDAY(DATE(CalendarYear,6,24),1),"jjj")</f>
        <v>sam</v>
      </c>
      <c r="AA7" s="23" t="str">
        <f>TEXT(WEEKDAY(DATE(CalendarYear,6,25),1),"jjj")</f>
        <v>dim</v>
      </c>
      <c r="AB7" s="23" t="str">
        <f>TEXT(WEEKDAY(DATE(CalendarYear,6,26),1),"jjj")</f>
        <v>lun</v>
      </c>
      <c r="AC7" s="23" t="str">
        <f>TEXT(WEEKDAY(DATE(CalendarYear,6,27),1),"jjj")</f>
        <v>mar</v>
      </c>
      <c r="AD7" s="23" t="str">
        <f>TEXT(WEEKDAY(DATE(CalendarYear,6,28),1),"jjj")</f>
        <v>mer</v>
      </c>
      <c r="AE7" s="23" t="str">
        <f>TEXT(WEEKDAY(DATE(CalendarYear,6,29),1),"jjj")</f>
        <v>jeu</v>
      </c>
      <c r="AF7" s="23" t="str">
        <f>TEXT(WEEKDAY(DATE(CalendarYear,6,30),1),"jjj")</f>
        <v>ven</v>
      </c>
      <c r="AG7" s="23"/>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51</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COUNTA(Juin[[#This Row],[1]:[ ]])</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COUNTA(Juin[[#This Row],[1]:[ ]])</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COUNTA(Juin[[#This Row],[1]:[ ]])</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COUNTA(Juin[[#This Row],[1]:[ ]])</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COUNTA(Juin[[#This Row],[1]:[ ]])</f>
        <v>0</v>
      </c>
    </row>
    <row r="14" spans="2:34" ht="30" customHeight="1">
      <c r="B14" s="5" t="str">
        <f>NomMois&amp;" Total"</f>
        <v>Juin Total</v>
      </c>
      <c r="C14" s="4">
        <f>SUBTOTAL(103,Juin[1])</f>
        <v>0</v>
      </c>
      <c r="D14" s="4">
        <f>SUBTOTAL(103,Juin[2])</f>
        <v>0</v>
      </c>
      <c r="E14" s="4">
        <f>SUBTOTAL(103,Juin[3])</f>
        <v>0</v>
      </c>
      <c r="F14" s="4">
        <f>SUBTOTAL(103,Juin[4])</f>
        <v>0</v>
      </c>
      <c r="G14" s="4">
        <f>SUBTOTAL(103,Juin[5])</f>
        <v>0</v>
      </c>
      <c r="H14" s="4">
        <f>SUBTOTAL(103,Juin[6])</f>
        <v>0</v>
      </c>
      <c r="I14" s="4">
        <f>SUBTOTAL(103,Juin[7])</f>
        <v>0</v>
      </c>
      <c r="J14" s="4">
        <f>SUBTOTAL(103,Juin[8])</f>
        <v>0</v>
      </c>
      <c r="K14" s="4">
        <f>SUBTOTAL(103,Juin[9])</f>
        <v>0</v>
      </c>
      <c r="L14" s="4">
        <f>SUBTOTAL(103,Juin[10])</f>
        <v>0</v>
      </c>
      <c r="M14" s="4">
        <f>SUBTOTAL(103,Juin[11])</f>
        <v>0</v>
      </c>
      <c r="N14" s="4">
        <f>SUBTOTAL(103,Juin[12])</f>
        <v>0</v>
      </c>
      <c r="O14" s="4">
        <f>SUBTOTAL(103,Juin[13])</f>
        <v>0</v>
      </c>
      <c r="P14" s="4">
        <f>SUBTOTAL(103,Juin[14])</f>
        <v>0</v>
      </c>
      <c r="Q14" s="4">
        <f>SUBTOTAL(103,Juin[15])</f>
        <v>0</v>
      </c>
      <c r="R14" s="4">
        <f>SUBTOTAL(103,Juin[16])</f>
        <v>0</v>
      </c>
      <c r="S14" s="4">
        <f>SUBTOTAL(103,Juin[17])</f>
        <v>0</v>
      </c>
      <c r="T14" s="4">
        <f>SUBTOTAL(103,Juin[18])</f>
        <v>0</v>
      </c>
      <c r="U14" s="4">
        <f>SUBTOTAL(103,Juin[19])</f>
        <v>0</v>
      </c>
      <c r="V14" s="4">
        <f>SUBTOTAL(103,Juin[20])</f>
        <v>0</v>
      </c>
      <c r="W14" s="4">
        <f>SUBTOTAL(103,Juin[21])</f>
        <v>0</v>
      </c>
      <c r="X14" s="4">
        <f>SUBTOTAL(103,Juin[22])</f>
        <v>0</v>
      </c>
      <c r="Y14" s="4">
        <f>SUBTOTAL(103,Juin[23])</f>
        <v>0</v>
      </c>
      <c r="Z14" s="4">
        <f>SUBTOTAL(103,Juin[24])</f>
        <v>0</v>
      </c>
      <c r="AA14" s="4">
        <f>SUBTOTAL(103,Juin[25])</f>
        <v>0</v>
      </c>
      <c r="AB14" s="4">
        <f>SUBTOTAL(103,Juin[26])</f>
        <v>0</v>
      </c>
      <c r="AC14" s="4">
        <f>SUBTOTAL(103,Juin[27])</f>
        <v>0</v>
      </c>
      <c r="AD14" s="4">
        <f>SUBTOTAL(103,Juin[28])</f>
        <v>0</v>
      </c>
      <c r="AE14" s="4">
        <f>SUBTOTAL(103,Juin[29])</f>
        <v>0</v>
      </c>
      <c r="AF14" s="4">
        <f>SUBTOTAL(109,Juin[30])</f>
        <v>0</v>
      </c>
      <c r="AG14" s="4">
        <f>SUBTOTAL(109,Juin[[ ]])</f>
        <v>0</v>
      </c>
      <c r="AH14" s="4">
        <f>SUBTOTAL(109,Juin[Total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34" priority="2" stopIfTrue="1">
      <formula>C9=CléPersonnalisée2</formula>
    </cfRule>
    <cfRule type="expression" dxfId="33" priority="3" stopIfTrue="1">
      <formula>C9=CléPersonnalisée1</formula>
    </cfRule>
    <cfRule type="expression" dxfId="32" priority="4" stopIfTrue="1">
      <formula>C9=CléMaladie</formula>
    </cfRule>
    <cfRule type="expression" dxfId="31" priority="5" stopIfTrue="1">
      <formula>C9=CléPersonnel</formula>
    </cfRule>
    <cfRule type="expression" dxfId="30"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85B1AA25-701F-5E4F-A537-8492818323AC}"/>
    <dataValidation allowBlank="1" showInputMessage="1" showErrorMessage="1" prompt="Année mise à jour automatiquement en fonction de l’année entrée dans la feuille de calcul Janvier" sqref="AH6" xr:uid="{84DE34BD-C74C-E949-BDDC-390099447919}"/>
    <dataValidation allowBlank="1" showInputMessage="1" showErrorMessage="1" prompt="Calcule automatiquement le nombre total de jours d’absence d’un employé durant ce mois dans cette colonne" sqref="AH8" xr:uid="{EFC3BF89-2526-1648-9032-54E38409D629}"/>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D4ADDEE7-3BB2-0A42-AA24-1DBB30531A38}"/>
    <dataValidation allowBlank="1" showInputMessage="1" showErrorMessage="1" prompt="Le titre mis à jour automatiquement figure dans cette cellule. Pour modifier le titre, mettez à jour la cellule B1 de la feuille de calcul Janvier" sqref="B2" xr:uid="{00000000-0002-0000-0500-000005000000}"/>
    <dataValidation allowBlank="1" showInputMessage="1" showErrorMessage="1" prompt="La lettre « C » indique une absence pour cause de congé" sqref="C4" xr:uid="{669E8E72-D5A5-4BC6-8CE5-83A8152AF713}"/>
    <dataValidation allowBlank="1" showInputMessage="1" showErrorMessage="1" prompt="La lettre « P » indique une absence pour motifs personnels" sqref="F4" xr:uid="{691CFC77-0CA9-4987-8716-E9A19324A4C8}"/>
    <dataValidation allowBlank="1" showInputMessage="1" showErrorMessage="1" prompt="La lettre « M » indique une absence pour cause de maladie" sqref="J4" xr:uid="{2567A143-999B-46DF-BB1C-1A96D72FB412}"/>
    <dataValidation allowBlank="1" showInputMessage="1" showErrorMessage="1" prompt="Entrez une lettre et personnalisez l’étiquette à droite pour ajouter un élément de clé" sqref="N4 S4" xr:uid="{6C47BAFF-3A72-4324-80B0-642E03320ADD}"/>
    <dataValidation allowBlank="1" showInputMessage="1" showErrorMessage="1" prompt="Entrez une étiquette pour décrire la clé personnalisée à gauche" sqref="O4 T4" xr:uid="{1C964D93-E025-492F-9684-169D95F6C2D4}"/>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5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5F765F6B-473A-3349-9925-D065E8DF0F17}"/>
    <dataValidation allowBlank="1" showInputMessage="1" showErrorMessage="1" prompt="Cette ligne définit les clés utilisées dans le tableau : la cellule C4 un congé, la G4 personnel, et K4 un congé maladie. Les cellules N4 et R4 sont personnalisables " sqref="B4" xr:uid="{9A98F9D7-8874-4D13-82D2-1EEC27A6D951}"/>
    <dataValidation allowBlank="1" showInputMessage="1" showErrorMessage="1" prompt="Le titre de la feuille de calcul figure dans cette cellule. " sqref="B1" xr:uid="{D81EDF62-F132-4F32-A772-764FF14B69A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B9:B13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8"/>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4" t="s">
        <v>57</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TEXT(WEEKDAY(DATE(CalendarYear,7,1),1),"jjj")</f>
        <v>sam</v>
      </c>
      <c r="D7" s="23" t="str">
        <f>TEXT(WEEKDAY(DATE(CalendarYear,7,2),1),"jjj")</f>
        <v>dim</v>
      </c>
      <c r="E7" s="23" t="str">
        <f>TEXT(WEEKDAY(DATE(CalendarYear,7,3),1),"jjj")</f>
        <v>lun</v>
      </c>
      <c r="F7" s="23" t="str">
        <f>TEXT(WEEKDAY(DATE(CalendarYear,7,4),1),"jjj")</f>
        <v>mar</v>
      </c>
      <c r="G7" s="23" t="str">
        <f>TEXT(WEEKDAY(DATE(CalendarYear,7,5),1),"jjj")</f>
        <v>mer</v>
      </c>
      <c r="H7" s="23" t="str">
        <f>TEXT(WEEKDAY(DATE(CalendarYear,7,6),1),"jjj")</f>
        <v>jeu</v>
      </c>
      <c r="I7" s="23" t="str">
        <f>TEXT(WEEKDAY(DATE(CalendarYear,7,7),1),"jjj")</f>
        <v>ven</v>
      </c>
      <c r="J7" s="23" t="str">
        <f>TEXT(WEEKDAY(DATE(CalendarYear,7,8),1),"jjj")</f>
        <v>sam</v>
      </c>
      <c r="K7" s="23" t="str">
        <f>TEXT(WEEKDAY(DATE(CalendarYear,7,9),1),"jjj")</f>
        <v>dim</v>
      </c>
      <c r="L7" s="23" t="str">
        <f>TEXT(WEEKDAY(DATE(CalendarYear,7,10),1),"jjj")</f>
        <v>lun</v>
      </c>
      <c r="M7" s="23" t="str">
        <f>TEXT(WEEKDAY(DATE(CalendarYear,7,11),1),"jjj")</f>
        <v>mar</v>
      </c>
      <c r="N7" s="23" t="str">
        <f>TEXT(WEEKDAY(DATE(CalendarYear,7,12),1),"jjj")</f>
        <v>mer</v>
      </c>
      <c r="O7" s="23" t="str">
        <f>TEXT(WEEKDAY(DATE(CalendarYear,7,13),1),"jjj")</f>
        <v>jeu</v>
      </c>
      <c r="P7" s="23" t="str">
        <f>TEXT(WEEKDAY(DATE(CalendarYear,7,14),1),"jjj")</f>
        <v>ven</v>
      </c>
      <c r="Q7" s="23" t="str">
        <f>TEXT(WEEKDAY(DATE(CalendarYear,7,15),1),"jjj")</f>
        <v>sam</v>
      </c>
      <c r="R7" s="23" t="str">
        <f>TEXT(WEEKDAY(DATE(CalendarYear,7,16),1),"jjj")</f>
        <v>dim</v>
      </c>
      <c r="S7" s="23" t="str">
        <f>TEXT(WEEKDAY(DATE(CalendarYear,7,17),1),"jjj")</f>
        <v>lun</v>
      </c>
      <c r="T7" s="23" t="str">
        <f>TEXT(WEEKDAY(DATE(CalendarYear,7,18),1),"jjj")</f>
        <v>mar</v>
      </c>
      <c r="U7" s="23" t="str">
        <f>TEXT(WEEKDAY(DATE(CalendarYear,7,19),1),"jjj")</f>
        <v>mer</v>
      </c>
      <c r="V7" s="23" t="str">
        <f>TEXT(WEEKDAY(DATE(CalendarYear,7,20),1),"jjj")</f>
        <v>jeu</v>
      </c>
      <c r="W7" s="23" t="str">
        <f>TEXT(WEEKDAY(DATE(CalendarYear,7,21),1),"jjj")</f>
        <v>ven</v>
      </c>
      <c r="X7" s="23" t="str">
        <f>TEXT(WEEKDAY(DATE(CalendarYear,7,22),1),"jjj")</f>
        <v>sam</v>
      </c>
      <c r="Y7" s="23" t="str">
        <f>TEXT(WEEKDAY(DATE(CalendarYear,7,23),1),"jjj")</f>
        <v>dim</v>
      </c>
      <c r="Z7" s="23" t="str">
        <f>TEXT(WEEKDAY(DATE(CalendarYear,7,24),1),"jjj")</f>
        <v>lun</v>
      </c>
      <c r="AA7" s="23" t="str">
        <f>TEXT(WEEKDAY(DATE(CalendarYear,7,25),1),"jjj")</f>
        <v>mar</v>
      </c>
      <c r="AB7" s="23" t="str">
        <f>TEXT(WEEKDAY(DATE(CalendarYear,7,26),1),"jjj")</f>
        <v>mer</v>
      </c>
      <c r="AC7" s="23" t="str">
        <f>TEXT(WEEKDAY(DATE(CalendarYear,7,27),1),"jjj")</f>
        <v>jeu</v>
      </c>
      <c r="AD7" s="23" t="str">
        <f>TEXT(WEEKDAY(DATE(CalendarYear,7,28),1),"jjj")</f>
        <v>ven</v>
      </c>
      <c r="AE7" s="23" t="str">
        <f>TEXT(WEEKDAY(DATE(CalendarYear,7,29),1),"jjj")</f>
        <v>sam</v>
      </c>
      <c r="AF7" s="23" t="str">
        <f>TEXT(WEEKDAY(DATE(CalendarYear,7,30),1),"jjj")</f>
        <v>dim</v>
      </c>
      <c r="AG7" s="23" t="str">
        <f>TEXT(WEEKDAY(DATE(CalendarYear,7,31),1),"jjj")</f>
        <v>lun</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COUNTA(Juillet[[#This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COUNTA(Juillet[[#This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COUNTA(Juillet[[#This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COUNTA(Juillet[[#This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COUNTA(Juillet[[#This Row],[1]:[31]])</f>
        <v>0</v>
      </c>
    </row>
    <row r="14" spans="2:34" ht="30" customHeight="1">
      <c r="B14" s="5" t="str">
        <f>NomMois&amp;" Total"</f>
        <v>Juillet Total</v>
      </c>
      <c r="C14" s="4">
        <f>SUBTOTAL(103,Juillet[1])</f>
        <v>0</v>
      </c>
      <c r="D14" s="4">
        <f>SUBTOTAL(103,Juillet[2])</f>
        <v>0</v>
      </c>
      <c r="E14" s="4">
        <f>SUBTOTAL(103,Juillet[3])</f>
        <v>0</v>
      </c>
      <c r="F14" s="4">
        <f>SUBTOTAL(103,Juillet[4])</f>
        <v>0</v>
      </c>
      <c r="G14" s="4">
        <f>SUBTOTAL(103,Juillet[5])</f>
        <v>0</v>
      </c>
      <c r="H14" s="4">
        <f>SUBTOTAL(103,Juillet[6])</f>
        <v>0</v>
      </c>
      <c r="I14" s="4">
        <f>SUBTOTAL(103,Juillet[7])</f>
        <v>0</v>
      </c>
      <c r="J14" s="4">
        <f>SUBTOTAL(103,Juillet[8])</f>
        <v>0</v>
      </c>
      <c r="K14" s="4">
        <f>SUBTOTAL(103,Juillet[9])</f>
        <v>0</v>
      </c>
      <c r="L14" s="4">
        <f>SUBTOTAL(103,Juillet[10])</f>
        <v>0</v>
      </c>
      <c r="M14" s="4">
        <f>SUBTOTAL(103,Juillet[11])</f>
        <v>0</v>
      </c>
      <c r="N14" s="4">
        <f>SUBTOTAL(103,Juillet[12])</f>
        <v>0</v>
      </c>
      <c r="O14" s="4">
        <f>SUBTOTAL(103,Juillet[13])</f>
        <v>0</v>
      </c>
      <c r="P14" s="4">
        <f>SUBTOTAL(103,Juillet[14])</f>
        <v>0</v>
      </c>
      <c r="Q14" s="4">
        <f>SUBTOTAL(103,Juillet[15])</f>
        <v>0</v>
      </c>
      <c r="R14" s="4">
        <f>SUBTOTAL(103,Juillet[16])</f>
        <v>0</v>
      </c>
      <c r="S14" s="4">
        <f>SUBTOTAL(103,Juillet[17])</f>
        <v>0</v>
      </c>
      <c r="T14" s="4">
        <f>SUBTOTAL(103,Juillet[18])</f>
        <v>0</v>
      </c>
      <c r="U14" s="4">
        <f>SUBTOTAL(103,Juillet[19])</f>
        <v>0</v>
      </c>
      <c r="V14" s="4">
        <f>SUBTOTAL(103,Juillet[20])</f>
        <v>0</v>
      </c>
      <c r="W14" s="4">
        <f>SUBTOTAL(103,Juillet[21])</f>
        <v>0</v>
      </c>
      <c r="X14" s="4">
        <f>SUBTOTAL(103,Juillet[22])</f>
        <v>0</v>
      </c>
      <c r="Y14" s="4">
        <f>SUBTOTAL(103,Juillet[23])</f>
        <v>0</v>
      </c>
      <c r="Z14" s="4">
        <f>SUBTOTAL(103,Juillet[24])</f>
        <v>0</v>
      </c>
      <c r="AA14" s="4">
        <f>SUBTOTAL(103,Juillet[25])</f>
        <v>0</v>
      </c>
      <c r="AB14" s="4">
        <f>SUBTOTAL(103,Juillet[26])</f>
        <v>0</v>
      </c>
      <c r="AC14" s="4">
        <f>SUBTOTAL(103,Juillet[27])</f>
        <v>0</v>
      </c>
      <c r="AD14" s="4">
        <f>SUBTOTAL(103,Juillet[28])</f>
        <v>0</v>
      </c>
      <c r="AE14" s="4">
        <f>SUBTOTAL(103,Juillet[29])</f>
        <v>0</v>
      </c>
      <c r="AF14" s="4">
        <f>SUBTOTAL(109,Juillet[30])</f>
        <v>0</v>
      </c>
      <c r="AG14" s="4">
        <f>SUBTOTAL(109,Juillet[31])</f>
        <v>0</v>
      </c>
      <c r="AH14" s="4">
        <f>SUBTOTAL(109,Juillet[Total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29" priority="2" stopIfTrue="1">
      <formula>C9=CléPersonnalisée2</formula>
    </cfRule>
    <cfRule type="expression" dxfId="28" priority="3" stopIfTrue="1">
      <formula>C9=CléPersonnalisée1</formula>
    </cfRule>
    <cfRule type="expression" dxfId="27" priority="4" stopIfTrue="1">
      <formula>C9=CléMaladie</formula>
    </cfRule>
    <cfRule type="expression" dxfId="26" priority="5" stopIfTrue="1">
      <formula>C9=CléPersonnel</formula>
    </cfRule>
    <cfRule type="expression" dxfId="25"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3C1A45F-45B9-C64C-AB94-81563D67373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600-000001000000}"/>
    <dataValidation allowBlank="1" showInputMessage="1" showErrorMessage="1" prompt="Entrez une étiquette pour décrire la clé personnalisée à gauche" sqref="O4 T4" xr:uid="{68029F35-1075-4F17-8CE7-9945431255DC}"/>
    <dataValidation allowBlank="1" showInputMessage="1" showErrorMessage="1" prompt="Entrez une lettre et personnalisez l’étiquette à droite pour ajouter un élément de clé" sqref="N4 S4" xr:uid="{4DA57335-21F5-4A1C-B063-CD69AFF077A8}"/>
    <dataValidation allowBlank="1" showInputMessage="1" showErrorMessage="1" prompt="La lettre « M » indique une absence pour cause de maladie" sqref="J4" xr:uid="{A2C5C22A-54A4-4C65-9029-566BF1F796D1}"/>
    <dataValidation allowBlank="1" showInputMessage="1" showErrorMessage="1" prompt="La lettre « P » indique une absence pour motifs personnels" sqref="F4" xr:uid="{95BFE507-D1BB-4191-AF17-520F50B5ECDA}"/>
    <dataValidation allowBlank="1" showInputMessage="1" showErrorMessage="1" prompt="La lettre « C » indique une absence pour cause de congé" sqref="C4" xr:uid="{DE7877C3-9B0B-4FE8-B597-90CEDF332212}"/>
    <dataValidation allowBlank="1" showInputMessage="1" showErrorMessage="1" prompt="Le titre mis à jour automatiquement figure dans cette cellule. Pour modifier le titre, mettez à jour la cellule B1 de la feuille de calcul Janvier" sqref="B2"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56BA2E4C-7843-2040-9E97-682F447A602F}"/>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8" xr:uid="{7EEB97FE-C4E8-0B42-8F26-4ACE0C358EA5}"/>
    <dataValidation allowBlank="1" showInputMessage="1" showErrorMessage="1" prompt="Année mise à jour automatiquement en fonction de l’année entrée dans la feuille de calcul Janvier" sqref="AH6" xr:uid="{00000000-0002-0000-0600-00000C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56AA00F-FA3E-EE4C-BC75-65E8AA2EA95F}"/>
    <dataValidation allowBlank="1" showInputMessage="1" showErrorMessage="1" prompt="Cette ligne définit les clés utilisées dans le tableau : la cellule C4 un congé, la G4 personnel, et K4 un congé maladie. Les cellules N4 et R4 sont personnalisables " sqref="B4" xr:uid="{49FE03CF-624B-4523-A1B1-B51C2CB6F6D6}"/>
    <dataValidation allowBlank="1" showInputMessage="1" showErrorMessage="1" prompt="Le titre de la feuille de calcul figure dans cette cellule. " sqref="B1" xr:uid="{0AC8E3EA-A233-463E-AEDF-A0DB4FC9697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B9:B13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8"/>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3" t="s">
        <v>58</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TEXT(WEEKDAY(DATE(CalendarYear,8,1),1),"jjj")</f>
        <v>mar</v>
      </c>
      <c r="D7" s="23" t="str">
        <f>TEXT(WEEKDAY(DATE(CalendarYear,8,2),1),"jjj")</f>
        <v>mer</v>
      </c>
      <c r="E7" s="23" t="str">
        <f>TEXT(WEEKDAY(DATE(CalendarYear,8,3),1),"jjj")</f>
        <v>jeu</v>
      </c>
      <c r="F7" s="23" t="str">
        <f>TEXT(WEEKDAY(DATE(CalendarYear,8,4),1),"jjj")</f>
        <v>ven</v>
      </c>
      <c r="G7" s="23" t="str">
        <f>TEXT(WEEKDAY(DATE(CalendarYear,8,5),1),"jjj")</f>
        <v>sam</v>
      </c>
      <c r="H7" s="23" t="str">
        <f>TEXT(WEEKDAY(DATE(CalendarYear,8,6),1),"jjj")</f>
        <v>dim</v>
      </c>
      <c r="I7" s="23" t="str">
        <f>TEXT(WEEKDAY(DATE(CalendarYear,8,7),1),"jjj")</f>
        <v>lun</v>
      </c>
      <c r="J7" s="23" t="str">
        <f>TEXT(WEEKDAY(DATE(CalendarYear,8,8),1),"jjj")</f>
        <v>mar</v>
      </c>
      <c r="K7" s="23" t="str">
        <f>TEXT(WEEKDAY(DATE(CalendarYear,8,9),1),"jjj")</f>
        <v>mer</v>
      </c>
      <c r="L7" s="23" t="str">
        <f>TEXT(WEEKDAY(DATE(CalendarYear,8,10),1),"jjj")</f>
        <v>jeu</v>
      </c>
      <c r="M7" s="23" t="str">
        <f>TEXT(WEEKDAY(DATE(CalendarYear,8,11),1),"jjj")</f>
        <v>ven</v>
      </c>
      <c r="N7" s="23" t="str">
        <f>TEXT(WEEKDAY(DATE(CalendarYear,8,12),1),"jjj")</f>
        <v>sam</v>
      </c>
      <c r="O7" s="23" t="str">
        <f>TEXT(WEEKDAY(DATE(CalendarYear,8,13),1),"jjj")</f>
        <v>dim</v>
      </c>
      <c r="P7" s="23" t="str">
        <f>TEXT(WEEKDAY(DATE(CalendarYear,8,14),1),"jjj")</f>
        <v>lun</v>
      </c>
      <c r="Q7" s="23" t="str">
        <f>TEXT(WEEKDAY(DATE(CalendarYear,8,15),1),"jjj")</f>
        <v>mar</v>
      </c>
      <c r="R7" s="23" t="str">
        <f>TEXT(WEEKDAY(DATE(CalendarYear,8,16),1),"jjj")</f>
        <v>mer</v>
      </c>
      <c r="S7" s="23" t="str">
        <f>TEXT(WEEKDAY(DATE(CalendarYear,8,17),1),"jjj")</f>
        <v>jeu</v>
      </c>
      <c r="T7" s="23" t="str">
        <f>TEXT(WEEKDAY(DATE(CalendarYear,8,18),1),"jjj")</f>
        <v>ven</v>
      </c>
      <c r="U7" s="23" t="str">
        <f>TEXT(WEEKDAY(DATE(CalendarYear,8,19),1),"jjj")</f>
        <v>sam</v>
      </c>
      <c r="V7" s="23" t="str">
        <f>TEXT(WEEKDAY(DATE(CalendarYear,8,20),1),"jjj")</f>
        <v>dim</v>
      </c>
      <c r="W7" s="23" t="str">
        <f>TEXT(WEEKDAY(DATE(CalendarYear,8,21),1),"jjj")</f>
        <v>lun</v>
      </c>
      <c r="X7" s="23" t="str">
        <f>TEXT(WEEKDAY(DATE(CalendarYear,8,22),1),"jjj")</f>
        <v>mar</v>
      </c>
      <c r="Y7" s="23" t="str">
        <f>TEXT(WEEKDAY(DATE(CalendarYear,8,23),1),"jjj")</f>
        <v>mer</v>
      </c>
      <c r="Z7" s="23" t="str">
        <f>TEXT(WEEKDAY(DATE(CalendarYear,8,24),1),"jjj")</f>
        <v>jeu</v>
      </c>
      <c r="AA7" s="23" t="str">
        <f>TEXT(WEEKDAY(DATE(CalendarYear,8,25),1),"jjj")</f>
        <v>ven</v>
      </c>
      <c r="AB7" s="23" t="str">
        <f>TEXT(WEEKDAY(DATE(CalendarYear,8,26),1),"jjj")</f>
        <v>sam</v>
      </c>
      <c r="AC7" s="23" t="str">
        <f>TEXT(WEEKDAY(DATE(CalendarYear,8,27),1),"jjj")</f>
        <v>dim</v>
      </c>
      <c r="AD7" s="23" t="str">
        <f>TEXT(WEEKDAY(DATE(CalendarYear,8,28),1),"jjj")</f>
        <v>lun</v>
      </c>
      <c r="AE7" s="23" t="str">
        <f>TEXT(WEEKDAY(DATE(CalendarYear,8,29),1),"jjj")</f>
        <v>mar</v>
      </c>
      <c r="AF7" s="23" t="str">
        <f>TEXT(WEEKDAY(DATE(CalendarYear,8,30),1),"jjj")</f>
        <v>mer</v>
      </c>
      <c r="AG7" s="23" t="str">
        <f>TEXT(WEEKDAY(DATE(CalendarYear,8,31),1),"jjj")</f>
        <v>jeu</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COUNTA(Août[[#This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COUNTA(Août[[#This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COUNTA(Août[[#This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COUNTA(Août[[#This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COUNTA(Août[[#This Row],[1]:[31]])</f>
        <v>0</v>
      </c>
    </row>
    <row r="14" spans="2:34" ht="30" customHeight="1">
      <c r="B14" s="5" t="str">
        <f>NomMois&amp;" Total"</f>
        <v>Août Total</v>
      </c>
      <c r="C14" s="4">
        <f>SUBTOTAL(103,Août[1])</f>
        <v>0</v>
      </c>
      <c r="D14" s="4">
        <f>SUBTOTAL(103,Août[2])</f>
        <v>0</v>
      </c>
      <c r="E14" s="4">
        <f>SUBTOTAL(103,Août[3])</f>
        <v>0</v>
      </c>
      <c r="F14" s="4">
        <f>SUBTOTAL(103,Août[4])</f>
        <v>0</v>
      </c>
      <c r="G14" s="4">
        <f>SUBTOTAL(103,Août[5])</f>
        <v>0</v>
      </c>
      <c r="H14" s="4">
        <f>SUBTOTAL(103,Août[6])</f>
        <v>0</v>
      </c>
      <c r="I14" s="4">
        <f>SUBTOTAL(103,Août[7])</f>
        <v>0</v>
      </c>
      <c r="J14" s="4">
        <f>SUBTOTAL(103,Août[8])</f>
        <v>0</v>
      </c>
      <c r="K14" s="4">
        <f>SUBTOTAL(103,Août[9])</f>
        <v>0</v>
      </c>
      <c r="L14" s="4">
        <f>SUBTOTAL(103,Août[10])</f>
        <v>0</v>
      </c>
      <c r="M14" s="4">
        <f>SUBTOTAL(103,Août[11])</f>
        <v>0</v>
      </c>
      <c r="N14" s="4">
        <f>SUBTOTAL(103,Août[12])</f>
        <v>0</v>
      </c>
      <c r="O14" s="4">
        <f>SUBTOTAL(103,Août[13])</f>
        <v>0</v>
      </c>
      <c r="P14" s="4">
        <f>SUBTOTAL(103,Août[14])</f>
        <v>0</v>
      </c>
      <c r="Q14" s="4">
        <f>SUBTOTAL(103,Août[15])</f>
        <v>0</v>
      </c>
      <c r="R14" s="4">
        <f>SUBTOTAL(103,Août[16])</f>
        <v>0</v>
      </c>
      <c r="S14" s="4">
        <f>SUBTOTAL(103,Août[17])</f>
        <v>0</v>
      </c>
      <c r="T14" s="4">
        <f>SUBTOTAL(103,Août[18])</f>
        <v>0</v>
      </c>
      <c r="U14" s="4">
        <f>SUBTOTAL(103,Août[19])</f>
        <v>0</v>
      </c>
      <c r="V14" s="4">
        <f>SUBTOTAL(103,Août[20])</f>
        <v>0</v>
      </c>
      <c r="W14" s="4">
        <f>SUBTOTAL(103,Août[21])</f>
        <v>0</v>
      </c>
      <c r="X14" s="4">
        <f>SUBTOTAL(103,Août[22])</f>
        <v>0</v>
      </c>
      <c r="Y14" s="4">
        <f>SUBTOTAL(103,Août[23])</f>
        <v>0</v>
      </c>
      <c r="Z14" s="4">
        <f>SUBTOTAL(103,Août[24])</f>
        <v>0</v>
      </c>
      <c r="AA14" s="4">
        <f>SUBTOTAL(103,Août[25])</f>
        <v>0</v>
      </c>
      <c r="AB14" s="4">
        <f>SUBTOTAL(103,Août[26])</f>
        <v>0</v>
      </c>
      <c r="AC14" s="4">
        <f>SUBTOTAL(103,Août[27])</f>
        <v>0</v>
      </c>
      <c r="AD14" s="4">
        <f>SUBTOTAL(103,Août[28])</f>
        <v>0</v>
      </c>
      <c r="AE14" s="4">
        <f>SUBTOTAL(103,Août[29])</f>
        <v>0</v>
      </c>
      <c r="AF14" s="4">
        <f>SUBTOTAL(109,Août[30])</f>
        <v>0</v>
      </c>
      <c r="AG14" s="4">
        <f>SUBTOTAL(109,Août[31])</f>
        <v>0</v>
      </c>
      <c r="AH14" s="4">
        <f>SUBTOTAL(109,Août[Total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24" priority="2" stopIfTrue="1">
      <formula>C9=CléPersonnalisée2</formula>
    </cfRule>
    <cfRule type="expression" dxfId="23" priority="3" stopIfTrue="1">
      <formula>C9=CléPersonnalisée1</formula>
    </cfRule>
    <cfRule type="expression" dxfId="22" priority="4" stopIfTrue="1">
      <formula>C9=CléMaladie</formula>
    </cfRule>
    <cfRule type="expression" dxfId="21" priority="5" stopIfTrue="1">
      <formula>C9=CléPersonnel</formula>
    </cfRule>
    <cfRule type="expression" dxfId="20"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dataValidations count="1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C31066D8-39EA-EB48-A883-D56040D3EA81}"/>
    <dataValidation allowBlank="1" showInputMessage="1" showErrorMessage="1" prompt="Année mise à jour automatiquement en fonction de l’année entrée dans la feuille de calcul Janvier" sqref="AH6" xr:uid="{4F3A1A67-5AD0-224A-B9EB-2AA94773859B}"/>
    <dataValidation allowBlank="1" showInputMessage="1" showErrorMessage="1" prompt="Calcule automatiquement le nombre total de jours d’absence d’un employé durant ce mois dans cette colonne" sqref="AH8" xr:uid="{AC80500B-13F9-964F-8855-BCABB1C8AF13}"/>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3B37E336-5BFF-874C-B045-F359DA78F99B}"/>
    <dataValidation allowBlank="1" showInputMessage="1" showErrorMessage="1" prompt="Le titre mis à jour automatiquement figure dans cette cellule. Pour modifier le titre, mettez à jour la cellule B1 de la feuille de calcul Janvier" sqref="B2" xr:uid="{00000000-0002-0000-0700-000005000000}"/>
    <dataValidation allowBlank="1" showInputMessage="1" showErrorMessage="1" prompt="La lettre « C » indique une absence pour cause de congé" sqref="C4" xr:uid="{5E3053E1-2745-491E-A1D0-042E409C0556}"/>
    <dataValidation allowBlank="1" showInputMessage="1" showErrorMessage="1" prompt="La lettre « P » indique une absence pour motifs personnels" sqref="F4" xr:uid="{7C909329-D8CE-4F32-A080-2BB1FD2674A0}"/>
    <dataValidation allowBlank="1" showInputMessage="1" showErrorMessage="1" prompt="La lettre « M » indique une absence pour cause de maladie" sqref="J4" xr:uid="{E3A9AEEA-C42C-4E22-8DA3-4FF20596F807}"/>
    <dataValidation allowBlank="1" showInputMessage="1" showErrorMessage="1" prompt="Entrez une lettre et personnalisez l’étiquette à droite pour ajouter un élément de clé" sqref="N4 S4" xr:uid="{43C9D591-F97B-4132-8CCE-9C8136928300}"/>
    <dataValidation allowBlank="1" showInputMessage="1" showErrorMessage="1" prompt="Entrez une étiquette pour décrire la clé personnalisée à gauche" sqref="O4 T4" xr:uid="{CB2DDD9F-826C-4E8C-B608-0108B01FD3F9}"/>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7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ACF8EA0E-6010-5D46-9524-6055BFC9D4A3}"/>
    <dataValidation allowBlank="1" showInputMessage="1" showErrorMessage="1" prompt="Cette ligne définit les clés utilisées dans le tableau : la cellule C4 un congé, la G4 personnel, et K4 un congé maladie. Les cellules N4 et R4 sont personnalisables " sqref="B4" xr:uid="{2AD8EE52-D84F-4685-9E2E-4F8D1A731125}"/>
    <dataValidation allowBlank="1" showInputMessage="1" showErrorMessage="1" prompt="Le titre de la feuille de calcul figure dans cette cellule. " sqref="B1" xr:uid="{3F261A71-5753-4B06-A7AE-03F6BBA4818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B9:B13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7"/>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2" t="s">
        <v>59</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TEXT(WEEKDAY(DATE(CalendarYear,9,1),1),"jjj")</f>
        <v>ven</v>
      </c>
      <c r="D7" s="23" t="str">
        <f>TEXT(WEEKDAY(DATE(CalendarYear,9,2),1),"jjj")</f>
        <v>sam</v>
      </c>
      <c r="E7" s="23" t="str">
        <f>TEXT(WEEKDAY(DATE(CalendarYear,9,3),1),"jjj")</f>
        <v>dim</v>
      </c>
      <c r="F7" s="23" t="str">
        <f>TEXT(WEEKDAY(DATE(CalendarYear,9,4),1),"jjj")</f>
        <v>lun</v>
      </c>
      <c r="G7" s="23" t="str">
        <f>TEXT(WEEKDAY(DATE(CalendarYear,9,5),1),"jjj")</f>
        <v>mar</v>
      </c>
      <c r="H7" s="23" t="str">
        <f>TEXT(WEEKDAY(DATE(CalendarYear,9,6),1),"jjj")</f>
        <v>mer</v>
      </c>
      <c r="I7" s="23" t="str">
        <f>TEXT(WEEKDAY(DATE(CalendarYear,9,7),1),"jjj")</f>
        <v>jeu</v>
      </c>
      <c r="J7" s="23" t="str">
        <f>TEXT(WEEKDAY(DATE(CalendarYear,9,8),1),"jjj")</f>
        <v>ven</v>
      </c>
      <c r="K7" s="23" t="str">
        <f>TEXT(WEEKDAY(DATE(CalendarYear,9,9),1),"jjj")</f>
        <v>sam</v>
      </c>
      <c r="L7" s="23" t="str">
        <f>TEXT(WEEKDAY(DATE(CalendarYear,9,10),1),"jjj")</f>
        <v>dim</v>
      </c>
      <c r="M7" s="23" t="str">
        <f>TEXT(WEEKDAY(DATE(CalendarYear,9,11),1),"jjj")</f>
        <v>lun</v>
      </c>
      <c r="N7" s="23" t="str">
        <f>TEXT(WEEKDAY(DATE(CalendarYear,9,12),1),"jjj")</f>
        <v>mar</v>
      </c>
      <c r="O7" s="23" t="str">
        <f>TEXT(WEEKDAY(DATE(CalendarYear,9,13),1),"jjj")</f>
        <v>mer</v>
      </c>
      <c r="P7" s="23" t="str">
        <f>TEXT(WEEKDAY(DATE(CalendarYear,9,14),1),"jjj")</f>
        <v>jeu</v>
      </c>
      <c r="Q7" s="23" t="str">
        <f>TEXT(WEEKDAY(DATE(CalendarYear,9,15),1),"jjj")</f>
        <v>ven</v>
      </c>
      <c r="R7" s="23" t="str">
        <f>TEXT(WEEKDAY(DATE(CalendarYear,9,16),1),"jjj")</f>
        <v>sam</v>
      </c>
      <c r="S7" s="23" t="str">
        <f>TEXT(WEEKDAY(DATE(CalendarYear,9,17),1),"jjj")</f>
        <v>dim</v>
      </c>
      <c r="T7" s="23" t="str">
        <f>TEXT(WEEKDAY(DATE(CalendarYear,9,18),1),"jjj")</f>
        <v>lun</v>
      </c>
      <c r="U7" s="23" t="str">
        <f>TEXT(WEEKDAY(DATE(CalendarYear,9,19),1),"jjj")</f>
        <v>mar</v>
      </c>
      <c r="V7" s="23" t="str">
        <f>TEXT(WEEKDAY(DATE(CalendarYear,9,20),1),"jjj")</f>
        <v>mer</v>
      </c>
      <c r="W7" s="23" t="str">
        <f>TEXT(WEEKDAY(DATE(CalendarYear,9,21),1),"jjj")</f>
        <v>jeu</v>
      </c>
      <c r="X7" s="23" t="str">
        <f>TEXT(WEEKDAY(DATE(CalendarYear,9,22),1),"jjj")</f>
        <v>ven</v>
      </c>
      <c r="Y7" s="23" t="str">
        <f>TEXT(WEEKDAY(DATE(CalendarYear,9,23),1),"jjj")</f>
        <v>sam</v>
      </c>
      <c r="Z7" s="23" t="str">
        <f>TEXT(WEEKDAY(DATE(CalendarYear,9,24),1),"jjj")</f>
        <v>dim</v>
      </c>
      <c r="AA7" s="23" t="str">
        <f>TEXT(WEEKDAY(DATE(CalendarYear,9,25),1),"jjj")</f>
        <v>lun</v>
      </c>
      <c r="AB7" s="23" t="str">
        <f>TEXT(WEEKDAY(DATE(CalendarYear,9,26),1),"jjj")</f>
        <v>mar</v>
      </c>
      <c r="AC7" s="23" t="str">
        <f>TEXT(WEEKDAY(DATE(CalendarYear,9,27),1),"jjj")</f>
        <v>mer</v>
      </c>
      <c r="AD7" s="23" t="str">
        <f>TEXT(WEEKDAY(DATE(CalendarYear,9,28),1),"jjj")</f>
        <v>jeu</v>
      </c>
      <c r="AE7" s="23" t="str">
        <f>TEXT(WEEKDAY(DATE(CalendarYear,9,29),1),"jjj")</f>
        <v>ven</v>
      </c>
      <c r="AF7" s="23" t="str">
        <f>TEXT(WEEKDAY(DATE(CalendarYear,9,30),1),"jjj")</f>
        <v>sam</v>
      </c>
      <c r="AG7" s="23"/>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51</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COUNTA(Septembre[[#This Row],[1]:[ ]])</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COUNTA(Septembre[[#This Row],[1]:[ ]])</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COUNTA(Septembre[[#This Row],[1]:[ ]])</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COUNTA(Septembre[[#This Row],[1]:[ ]])</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COUNTA(Septembre[[#This Row],[1]:[ ]])</f>
        <v>0</v>
      </c>
    </row>
    <row r="14" spans="2:34" ht="30" customHeight="1">
      <c r="B14" s="5" t="str">
        <f>NomMois&amp;" Total"</f>
        <v>Septembre Total</v>
      </c>
      <c r="C14" s="4">
        <f>SUBTOTAL(103,Septembre[1])</f>
        <v>0</v>
      </c>
      <c r="D14" s="4">
        <f>SUBTOTAL(103,Septembre[2])</f>
        <v>0</v>
      </c>
      <c r="E14" s="4">
        <f>SUBTOTAL(103,Septembre[3])</f>
        <v>0</v>
      </c>
      <c r="F14" s="4">
        <f>SUBTOTAL(103,Septembre[4])</f>
        <v>0</v>
      </c>
      <c r="G14" s="4">
        <f>SUBTOTAL(103,Septembre[5])</f>
        <v>0</v>
      </c>
      <c r="H14" s="4">
        <f>SUBTOTAL(103,Septembre[6])</f>
        <v>0</v>
      </c>
      <c r="I14" s="4">
        <f>SUBTOTAL(103,Septembre[7])</f>
        <v>0</v>
      </c>
      <c r="J14" s="4">
        <f>SUBTOTAL(103,Septembre[8])</f>
        <v>0</v>
      </c>
      <c r="K14" s="4">
        <f>SUBTOTAL(103,Septembre[9])</f>
        <v>0</v>
      </c>
      <c r="L14" s="4">
        <f>SUBTOTAL(103,Septembre[10])</f>
        <v>0</v>
      </c>
      <c r="M14" s="4">
        <f>SUBTOTAL(103,Septembre[11])</f>
        <v>0</v>
      </c>
      <c r="N14" s="4">
        <f>SUBTOTAL(103,Septembre[12])</f>
        <v>0</v>
      </c>
      <c r="O14" s="4">
        <f>SUBTOTAL(103,Septembre[13])</f>
        <v>0</v>
      </c>
      <c r="P14" s="4">
        <f>SUBTOTAL(103,Septembre[14])</f>
        <v>0</v>
      </c>
      <c r="Q14" s="4">
        <f>SUBTOTAL(103,Septembre[15])</f>
        <v>0</v>
      </c>
      <c r="R14" s="4">
        <f>SUBTOTAL(103,Septembre[16])</f>
        <v>0</v>
      </c>
      <c r="S14" s="4">
        <f>SUBTOTAL(103,Septembre[17])</f>
        <v>0</v>
      </c>
      <c r="T14" s="4">
        <f>SUBTOTAL(103,Septembre[18])</f>
        <v>0</v>
      </c>
      <c r="U14" s="4">
        <f>SUBTOTAL(103,Septembre[19])</f>
        <v>0</v>
      </c>
      <c r="V14" s="4">
        <f>SUBTOTAL(103,Septembre[20])</f>
        <v>0</v>
      </c>
      <c r="W14" s="4">
        <f>SUBTOTAL(103,Septembre[21])</f>
        <v>0</v>
      </c>
      <c r="X14" s="4">
        <f>SUBTOTAL(103,Septembre[22])</f>
        <v>0</v>
      </c>
      <c r="Y14" s="4">
        <f>SUBTOTAL(103,Septembre[23])</f>
        <v>0</v>
      </c>
      <c r="Z14" s="4">
        <f>SUBTOTAL(103,Septembre[24])</f>
        <v>0</v>
      </c>
      <c r="AA14" s="4">
        <f>SUBTOTAL(103,Septembre[25])</f>
        <v>0</v>
      </c>
      <c r="AB14" s="4">
        <f>SUBTOTAL(103,Septembre[26])</f>
        <v>0</v>
      </c>
      <c r="AC14" s="4">
        <f>SUBTOTAL(103,Septembre[27])</f>
        <v>0</v>
      </c>
      <c r="AD14" s="4">
        <f>SUBTOTAL(103,Septembre[28])</f>
        <v>0</v>
      </c>
      <c r="AE14" s="4">
        <f>SUBTOTAL(103,Septembre[29])</f>
        <v>0</v>
      </c>
      <c r="AF14" s="4">
        <f>SUBTOTAL(109,Septembre[30])</f>
        <v>0</v>
      </c>
      <c r="AG14" s="4">
        <f>SUBTOTAL(109,Septembre[[ ]])</f>
        <v>0</v>
      </c>
      <c r="AH14" s="4">
        <f>SUBTOTAL(109,Septembre[Total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19" priority="2" stopIfTrue="1">
      <formula>C9=CléPersonnalisée2</formula>
    </cfRule>
    <cfRule type="expression" dxfId="18" priority="3" stopIfTrue="1">
      <formula>C9=CléPersonnalisée1</formula>
    </cfRule>
    <cfRule type="expression" dxfId="17" priority="4" stopIfTrue="1">
      <formula>C9=CléMaladie</formula>
    </cfRule>
    <cfRule type="expression" dxfId="16" priority="5" stopIfTrue="1">
      <formula>C9=CléPersonnel</formula>
    </cfRule>
    <cfRule type="expression" dxfId="15"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9DDE2A21-51EA-3649-A2EE-B04BD18F4ABA}"/>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800-000001000000}"/>
    <dataValidation allowBlank="1" showInputMessage="1" showErrorMessage="1" prompt="Entrez une étiquette pour décrire la clé personnalisée à gauche" sqref="O4 T4" xr:uid="{948C9DD1-BC14-44B9-BC13-F5D489DF082A}"/>
    <dataValidation allowBlank="1" showInputMessage="1" showErrorMessage="1" prompt="Entrez une lettre et personnalisez l’étiquette à droite pour ajouter un élément de clé" sqref="N4 S4" xr:uid="{316BD287-DD30-4159-B731-D60251A4BDD3}"/>
    <dataValidation allowBlank="1" showInputMessage="1" showErrorMessage="1" prompt="La lettre « M » indique une absence pour cause de maladie" sqref="J4" xr:uid="{5F393A76-B1EB-46B0-AED8-B9836E8E54D9}"/>
    <dataValidation allowBlank="1" showInputMessage="1" showErrorMessage="1" prompt="La lettre « P » indique une absence pour motifs personnels" sqref="F4" xr:uid="{11A107FA-0170-410F-8469-16A39C72239F}"/>
    <dataValidation allowBlank="1" showInputMessage="1" showErrorMessage="1" prompt="La lettre « C » indique une absence pour cause de congé" sqref="C4" xr:uid="{661EFD8E-A69F-4AC0-98E1-58D67767350C}"/>
    <dataValidation allowBlank="1" showInputMessage="1" showErrorMessage="1" prompt="Le titre mis à jour automatiquement figure dans cette cellule. Pour modifier le titre, mettez à jour la cellule B1 de la feuille de calcul Janvier" sqref="B2"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C813148F-9330-314A-8F3F-150F6150691C}"/>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8" xr:uid="{5C77DC9E-A1AE-7C41-B518-6426DAF8D1EE}"/>
    <dataValidation allowBlank="1" showInputMessage="1" showErrorMessage="1" prompt="Année mise à jour automatiquement en fonction de l’année entrée dans la feuille de calcul Janvier" sqref="AH6" xr:uid="{075296AD-6F4A-1446-94E5-CA2E94C7BFCE}"/>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85777C8-14EB-B748-8BBD-8B9BF124E384}"/>
    <dataValidation allowBlank="1" showInputMessage="1" showErrorMessage="1" prompt="Cette ligne définit les clés utilisées dans le tableau : la cellule C4 un congé, la G4 personnel, et K4 un congé maladie. Les cellules N4 et R4 sont personnalisables " sqref="B4" xr:uid="{258809B3-02AD-47F3-A0C7-61BAF9DAB51A}"/>
    <dataValidation allowBlank="1" showInputMessage="1" showErrorMessage="1" prompt="Le titre de la feuille de calcul figure dans cette cellule. " sqref="B1" xr:uid="{EDB7A32F-2F43-4B5F-BF9B-69D720D668D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B9:B13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7"/>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2" t="s">
        <v>60</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TEXT(WEEKDAY(DATE(CalendarYear,10,1),1),"jjj")</f>
        <v>dim</v>
      </c>
      <c r="D7" s="23" t="str">
        <f>TEXT(WEEKDAY(DATE(CalendarYear,10,2),1),"jjj")</f>
        <v>lun</v>
      </c>
      <c r="E7" s="23" t="str">
        <f>TEXT(WEEKDAY(DATE(CalendarYear,10,3),1),"jjj")</f>
        <v>mar</v>
      </c>
      <c r="F7" s="23" t="str">
        <f>TEXT(WEEKDAY(DATE(CalendarYear,10,4),1),"jjj")</f>
        <v>mer</v>
      </c>
      <c r="G7" s="23" t="str">
        <f>TEXT(WEEKDAY(DATE(CalendarYear,10,5),1),"jjj")</f>
        <v>jeu</v>
      </c>
      <c r="H7" s="23" t="str">
        <f>TEXT(WEEKDAY(DATE(CalendarYear,10,6),1),"jjj")</f>
        <v>ven</v>
      </c>
      <c r="I7" s="23" t="str">
        <f>TEXT(WEEKDAY(DATE(CalendarYear,10,7),1),"jjj")</f>
        <v>sam</v>
      </c>
      <c r="J7" s="23" t="str">
        <f>TEXT(WEEKDAY(DATE(CalendarYear,10,8),1),"jjj")</f>
        <v>dim</v>
      </c>
      <c r="K7" s="23" t="str">
        <f>TEXT(WEEKDAY(DATE(CalendarYear,10,9),1),"jjj")</f>
        <v>lun</v>
      </c>
      <c r="L7" s="23" t="str">
        <f>TEXT(WEEKDAY(DATE(CalendarYear,10,10),1),"jjj")</f>
        <v>mar</v>
      </c>
      <c r="M7" s="23" t="str">
        <f>TEXT(WEEKDAY(DATE(CalendarYear,10,11),1),"jjj")</f>
        <v>mer</v>
      </c>
      <c r="N7" s="23" t="str">
        <f>TEXT(WEEKDAY(DATE(CalendarYear,10,12),1),"jjj")</f>
        <v>jeu</v>
      </c>
      <c r="O7" s="23" t="str">
        <f>TEXT(WEEKDAY(DATE(CalendarYear,10,13),1),"jjj")</f>
        <v>ven</v>
      </c>
      <c r="P7" s="23" t="str">
        <f>TEXT(WEEKDAY(DATE(CalendarYear,10,14),1),"jjj")</f>
        <v>sam</v>
      </c>
      <c r="Q7" s="23" t="str">
        <f>TEXT(WEEKDAY(DATE(CalendarYear,10,15),1),"jjj")</f>
        <v>dim</v>
      </c>
      <c r="R7" s="23" t="str">
        <f>TEXT(WEEKDAY(DATE(CalendarYear,10,16),1),"jjj")</f>
        <v>lun</v>
      </c>
      <c r="S7" s="23" t="str">
        <f>TEXT(WEEKDAY(DATE(CalendarYear,10,17),1),"jjj")</f>
        <v>mar</v>
      </c>
      <c r="T7" s="23" t="str">
        <f>TEXT(WEEKDAY(DATE(CalendarYear,10,18),1),"jjj")</f>
        <v>mer</v>
      </c>
      <c r="U7" s="23" t="str">
        <f>TEXT(WEEKDAY(DATE(CalendarYear,10,19),1),"jjj")</f>
        <v>jeu</v>
      </c>
      <c r="V7" s="23" t="str">
        <f>TEXT(WEEKDAY(DATE(CalendarYear,10,20),1),"jjj")</f>
        <v>ven</v>
      </c>
      <c r="W7" s="23" t="str">
        <f>TEXT(WEEKDAY(DATE(CalendarYear,10,21),1),"jjj")</f>
        <v>sam</v>
      </c>
      <c r="X7" s="23" t="str">
        <f>TEXT(WEEKDAY(DATE(CalendarYear,10,22),1),"jjj")</f>
        <v>dim</v>
      </c>
      <c r="Y7" s="23" t="str">
        <f>TEXT(WEEKDAY(DATE(CalendarYear,10,23),1),"jjj")</f>
        <v>lun</v>
      </c>
      <c r="Z7" s="23" t="str">
        <f>TEXT(WEEKDAY(DATE(CalendarYear,10,24),1),"jjj")</f>
        <v>mar</v>
      </c>
      <c r="AA7" s="23" t="str">
        <f>TEXT(WEEKDAY(DATE(CalendarYear,10,25),1),"jjj")</f>
        <v>mer</v>
      </c>
      <c r="AB7" s="23" t="str">
        <f>TEXT(WEEKDAY(DATE(CalendarYear,10,26),1),"jjj")</f>
        <v>jeu</v>
      </c>
      <c r="AC7" s="23" t="str">
        <f>TEXT(WEEKDAY(DATE(CalendarYear,10,27),1),"jjj")</f>
        <v>ven</v>
      </c>
      <c r="AD7" s="23" t="str">
        <f>TEXT(WEEKDAY(DATE(CalendarYear,10,28),1),"jjj")</f>
        <v>sam</v>
      </c>
      <c r="AE7" s="23" t="str">
        <f>TEXT(WEEKDAY(DATE(CalendarYear,10,29),1),"jjj")</f>
        <v>dim</v>
      </c>
      <c r="AF7" s="23" t="str">
        <f>TEXT(WEEKDAY(DATE(CalendarYear,10,30),1),"jjj")</f>
        <v>lun</v>
      </c>
      <c r="AG7" s="23" t="str">
        <f>TEXT(WEEKDAY(DATE(CalendarYear,10,31),1),"jjj")</f>
        <v>mar</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COUNTA(Octobre[[#This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COUNTA(Octobre[[#This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COUNTA(Octobre[[#This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COUNTA(Octobre[[#This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COUNTA(Octobre[[#This Row],[1]:[31]])</f>
        <v>0</v>
      </c>
    </row>
    <row r="14" spans="2:34" ht="30" customHeight="1">
      <c r="B14" s="5" t="str">
        <f>NomMois&amp;" Total"</f>
        <v>Octobre Total</v>
      </c>
      <c r="C14" s="4">
        <f>SUBTOTAL(103,Octobre[1])</f>
        <v>0</v>
      </c>
      <c r="D14" s="4">
        <f>SUBTOTAL(103,Octobre[2])</f>
        <v>0</v>
      </c>
      <c r="E14" s="4">
        <f>SUBTOTAL(103,Octobre[3])</f>
        <v>0</v>
      </c>
      <c r="F14" s="4">
        <f>SUBTOTAL(103,Octobre[4])</f>
        <v>0</v>
      </c>
      <c r="G14" s="4">
        <f>SUBTOTAL(103,Octobre[5])</f>
        <v>0</v>
      </c>
      <c r="H14" s="4">
        <f>SUBTOTAL(103,Octobre[6])</f>
        <v>0</v>
      </c>
      <c r="I14" s="4">
        <f>SUBTOTAL(103,Octobre[7])</f>
        <v>0</v>
      </c>
      <c r="J14" s="4">
        <f>SUBTOTAL(103,Octobre[8])</f>
        <v>0</v>
      </c>
      <c r="K14" s="4">
        <f>SUBTOTAL(103,Octobre[9])</f>
        <v>0</v>
      </c>
      <c r="L14" s="4">
        <f>SUBTOTAL(103,Octobre[10])</f>
        <v>0</v>
      </c>
      <c r="M14" s="4">
        <f>SUBTOTAL(103,Octobre[11])</f>
        <v>0</v>
      </c>
      <c r="N14" s="4">
        <f>SUBTOTAL(103,Octobre[12])</f>
        <v>0</v>
      </c>
      <c r="O14" s="4">
        <f>SUBTOTAL(103,Octobre[13])</f>
        <v>0</v>
      </c>
      <c r="P14" s="4">
        <f>SUBTOTAL(103,Octobre[14])</f>
        <v>0</v>
      </c>
      <c r="Q14" s="4">
        <f>SUBTOTAL(103,Octobre[15])</f>
        <v>0</v>
      </c>
      <c r="R14" s="4">
        <f>SUBTOTAL(103,Octobre[16])</f>
        <v>0</v>
      </c>
      <c r="S14" s="4">
        <f>SUBTOTAL(103,Octobre[17])</f>
        <v>0</v>
      </c>
      <c r="T14" s="4">
        <f>SUBTOTAL(103,Octobre[18])</f>
        <v>0</v>
      </c>
      <c r="U14" s="4">
        <f>SUBTOTAL(103,Octobre[19])</f>
        <v>0</v>
      </c>
      <c r="V14" s="4">
        <f>SUBTOTAL(103,Octobre[20])</f>
        <v>0</v>
      </c>
      <c r="W14" s="4">
        <f>SUBTOTAL(103,Octobre[21])</f>
        <v>0</v>
      </c>
      <c r="X14" s="4">
        <f>SUBTOTAL(103,Octobre[22])</f>
        <v>0</v>
      </c>
      <c r="Y14" s="4">
        <f>SUBTOTAL(103,Octobre[23])</f>
        <v>0</v>
      </c>
      <c r="Z14" s="4">
        <f>SUBTOTAL(103,Octobre[24])</f>
        <v>0</v>
      </c>
      <c r="AA14" s="4">
        <f>SUBTOTAL(103,Octobre[25])</f>
        <v>0</v>
      </c>
      <c r="AB14" s="4">
        <f>SUBTOTAL(103,Octobre[26])</f>
        <v>0</v>
      </c>
      <c r="AC14" s="4">
        <f>SUBTOTAL(103,Octobre[27])</f>
        <v>0</v>
      </c>
      <c r="AD14" s="4">
        <f>SUBTOTAL(103,Octobre[28])</f>
        <v>0</v>
      </c>
      <c r="AE14" s="4">
        <f>SUBTOTAL(103,Octobre[29])</f>
        <v>0</v>
      </c>
      <c r="AF14" s="4">
        <f>SUBTOTAL(109,Octobre[30])</f>
        <v>0</v>
      </c>
      <c r="AG14" s="4">
        <f>SUBTOTAL(109,Octobre[31])</f>
        <v>0</v>
      </c>
      <c r="AH14" s="4">
        <f>SUBTOTAL(109,Octobre[Total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14" priority="2" stopIfTrue="1">
      <formula>C9=CléPersonnalisée2</formula>
    </cfRule>
    <cfRule type="expression" dxfId="13" priority="3" stopIfTrue="1">
      <formula>C9=CléPersonnalisée1</formula>
    </cfRule>
    <cfRule type="expression" dxfId="12" priority="4" stopIfTrue="1">
      <formula>C9=CléMaladie</formula>
    </cfRule>
    <cfRule type="expression" dxfId="11" priority="5" stopIfTrue="1">
      <formula>C9=CléPersonnel</formula>
    </cfRule>
    <cfRule type="expression" dxfId="10"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6C3B7250-7883-E447-A5BD-190F9EC85610}"/>
    <dataValidation allowBlank="1" showInputMessage="1" showErrorMessage="1" prompt="Année mise à jour automatiquement en fonction de l’année entrée dans la feuille de calcul Janvier" sqref="AH6" xr:uid="{856FAEF4-8645-3447-91CD-944E3DA437F4}"/>
    <dataValidation allowBlank="1" showInputMessage="1" showErrorMessage="1" prompt="Calcule automatiquement le nombre total de jours d’absence d’un employé durant ce mois dans cette colonne" sqref="AH8" xr:uid="{460C2673-D90D-514F-89AA-D6D7BDC2B7D4}"/>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4EADDEC-C0C0-D348-A864-4940BC2D178C}"/>
    <dataValidation allowBlank="1" showInputMessage="1" showErrorMessage="1" prompt="La lettre « C » indique une absence pour cause de congé" sqref="C4" xr:uid="{B474644A-068B-4ABE-B1C2-452D3D621CB2}"/>
    <dataValidation allowBlank="1" showInputMessage="1" showErrorMessage="1" prompt="La lettre « P » indique une absence pour motifs personnels" sqref="F4" xr:uid="{5540B754-5830-4AA3-9675-76F1316D666D}"/>
    <dataValidation allowBlank="1" showInputMessage="1" showErrorMessage="1" prompt="La lettre « M » indique une absence pour cause de maladie" sqref="J4" xr:uid="{49B3C7B1-AA65-48E2-A5E5-CB04EA825106}"/>
    <dataValidation allowBlank="1" showInputMessage="1" showErrorMessage="1" prompt="Entrez une lettre et personnalisez l’étiquette à droite pour ajouter un élément de clé" sqref="N4 S4" xr:uid="{3A9D7750-11E2-4513-A734-1E2456CF28F2}"/>
    <dataValidation allowBlank="1" showInputMessage="1" showErrorMessage="1" prompt="Entrez une étiquette pour décrire la clé personnalisée à gauche" sqref="O4 T4" xr:uid="{EDA7D15D-3897-4999-ADEF-865062E2B6B2}"/>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9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E2589F34-72AD-7946-9C30-9FD4409BBCB4}"/>
    <dataValidation allowBlank="1" showInputMessage="1" showErrorMessage="1" prompt="Cette ligne définit les clés utilisées dans le tableau : la cellule C4 un congé, la G4 personnel, et K4 un congé maladie. Les cellules N4 et R4 sont personnalisables " sqref="B4" xr:uid="{64951AAF-92FB-44AB-A8AD-B37C0B2DD08A}"/>
    <dataValidation allowBlank="1" showInputMessage="1" showErrorMessage="1" prompt="Le titre de la feuille de calcul figure dans cette cellule. " sqref="B1" xr:uid="{1C12649E-FD35-4288-A6DD-5F40186B16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B9:B13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7"/>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32" t="s">
        <v>61</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TEXT(WEEKDAY(DATE(CalendarYear,11,1),1),"jjj")</f>
        <v>mer</v>
      </c>
      <c r="D7" s="23" t="str">
        <f>TEXT(WEEKDAY(DATE(CalendarYear,11,2),1),"jjj")</f>
        <v>jeu</v>
      </c>
      <c r="E7" s="23" t="str">
        <f>TEXT(WEEKDAY(DATE(CalendarYear,11,3),1),"jjj")</f>
        <v>ven</v>
      </c>
      <c r="F7" s="23" t="str">
        <f>TEXT(WEEKDAY(DATE(CalendarYear,11,4),1),"jjj")</f>
        <v>sam</v>
      </c>
      <c r="G7" s="23" t="str">
        <f>TEXT(WEEKDAY(DATE(CalendarYear,11,5),1),"jjj")</f>
        <v>dim</v>
      </c>
      <c r="H7" s="23" t="str">
        <f>TEXT(WEEKDAY(DATE(CalendarYear,11,6),1),"jjj")</f>
        <v>lun</v>
      </c>
      <c r="I7" s="23" t="str">
        <f>TEXT(WEEKDAY(DATE(CalendarYear,11,7),1),"jjj")</f>
        <v>mar</v>
      </c>
      <c r="J7" s="23" t="str">
        <f>TEXT(WEEKDAY(DATE(CalendarYear,11,8),1),"jjj")</f>
        <v>mer</v>
      </c>
      <c r="K7" s="23" t="str">
        <f>TEXT(WEEKDAY(DATE(CalendarYear,11,9),1),"jjj")</f>
        <v>jeu</v>
      </c>
      <c r="L7" s="23" t="str">
        <f>TEXT(WEEKDAY(DATE(CalendarYear,11,10),1),"jjj")</f>
        <v>ven</v>
      </c>
      <c r="M7" s="23" t="str">
        <f>TEXT(WEEKDAY(DATE(CalendarYear,11,11),1),"jjj")</f>
        <v>sam</v>
      </c>
      <c r="N7" s="23" t="str">
        <f>TEXT(WEEKDAY(DATE(CalendarYear,11,12),1),"jjj")</f>
        <v>dim</v>
      </c>
      <c r="O7" s="23" t="str">
        <f>TEXT(WEEKDAY(DATE(CalendarYear,11,13),1),"jjj")</f>
        <v>lun</v>
      </c>
      <c r="P7" s="23" t="str">
        <f>TEXT(WEEKDAY(DATE(CalendarYear,11,14),1),"jjj")</f>
        <v>mar</v>
      </c>
      <c r="Q7" s="23" t="str">
        <f>TEXT(WEEKDAY(DATE(CalendarYear,11,15),1),"jjj")</f>
        <v>mer</v>
      </c>
      <c r="R7" s="23" t="str">
        <f>TEXT(WEEKDAY(DATE(CalendarYear,11,16),1),"jjj")</f>
        <v>jeu</v>
      </c>
      <c r="S7" s="23" t="str">
        <f>TEXT(WEEKDAY(DATE(CalendarYear,11,17),1),"jjj")</f>
        <v>ven</v>
      </c>
      <c r="T7" s="23" t="str">
        <f>TEXT(WEEKDAY(DATE(CalendarYear,11,18),1),"jjj")</f>
        <v>sam</v>
      </c>
      <c r="U7" s="23" t="str">
        <f>TEXT(WEEKDAY(DATE(CalendarYear,11,19),1),"jjj")</f>
        <v>dim</v>
      </c>
      <c r="V7" s="23" t="str">
        <f>TEXT(WEEKDAY(DATE(CalendarYear,11,20),1),"jjj")</f>
        <v>lun</v>
      </c>
      <c r="W7" s="23" t="str">
        <f>TEXT(WEEKDAY(DATE(CalendarYear,11,21),1),"jjj")</f>
        <v>mar</v>
      </c>
      <c r="X7" s="23" t="str">
        <f>TEXT(WEEKDAY(DATE(CalendarYear,11,22),1),"jjj")</f>
        <v>mer</v>
      </c>
      <c r="Y7" s="23" t="str">
        <f>TEXT(WEEKDAY(DATE(CalendarYear,11,23),1),"jjj")</f>
        <v>jeu</v>
      </c>
      <c r="Z7" s="23" t="str">
        <f>TEXT(WEEKDAY(DATE(CalendarYear,11,24),1),"jjj")</f>
        <v>ven</v>
      </c>
      <c r="AA7" s="23" t="str">
        <f>TEXT(WEEKDAY(DATE(CalendarYear,11,25),1),"jjj")</f>
        <v>sam</v>
      </c>
      <c r="AB7" s="23" t="str">
        <f>TEXT(WEEKDAY(DATE(CalendarYear,11,26),1),"jjj")</f>
        <v>dim</v>
      </c>
      <c r="AC7" s="23" t="str">
        <f>TEXT(WEEKDAY(DATE(CalendarYear,11,27),1),"jjj")</f>
        <v>lun</v>
      </c>
      <c r="AD7" s="23" t="str">
        <f>TEXT(WEEKDAY(DATE(CalendarYear,11,28),1),"jjj")</f>
        <v>mar</v>
      </c>
      <c r="AE7" s="23" t="str">
        <f>TEXT(WEEKDAY(DATE(CalendarYear,11,29),1),"jjj")</f>
        <v>mer</v>
      </c>
      <c r="AF7" s="23" t="str">
        <f>TEXT(WEEKDAY(DATE(CalendarYear,11,30),1),"jjj")</f>
        <v>jeu</v>
      </c>
      <c r="AG7" s="23"/>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51</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COUNTA(Novembre[[#This Row],[1]:[ ]])</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COUNTA(Novembre[[#This Row],[1]:[ ]])</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COUNTA(Novembre[[#This Row],[1]:[ ]])</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COUNTA(Novembre[[#This Row],[1]:[ ]])</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COUNTA(Novembre[[#This Row],[1]:[ ]])</f>
        <v>0</v>
      </c>
    </row>
    <row r="14" spans="2:34" ht="30" customHeight="1">
      <c r="B14" s="5" t="str">
        <f>NomMois&amp;" Total"</f>
        <v>Novembre Total</v>
      </c>
      <c r="C14" s="4">
        <f>SUBTOTAL(103,Novembre[1])</f>
        <v>0</v>
      </c>
      <c r="D14" s="4">
        <f>SUBTOTAL(103,Novembre[2])</f>
        <v>0</v>
      </c>
      <c r="E14" s="4">
        <f>SUBTOTAL(103,Novembre[3])</f>
        <v>0</v>
      </c>
      <c r="F14" s="4">
        <f>SUBTOTAL(103,Novembre[4])</f>
        <v>0</v>
      </c>
      <c r="G14" s="4">
        <f>SUBTOTAL(103,Novembre[5])</f>
        <v>0</v>
      </c>
      <c r="H14" s="4">
        <f>SUBTOTAL(103,Novembre[6])</f>
        <v>0</v>
      </c>
      <c r="I14" s="4">
        <f>SUBTOTAL(103,Novembre[7])</f>
        <v>0</v>
      </c>
      <c r="J14" s="4">
        <f>SUBTOTAL(103,Novembre[8])</f>
        <v>0</v>
      </c>
      <c r="K14" s="4">
        <f>SUBTOTAL(103,Novembre[9])</f>
        <v>0</v>
      </c>
      <c r="L14" s="4">
        <f>SUBTOTAL(103,Novembre[10])</f>
        <v>0</v>
      </c>
      <c r="M14" s="4">
        <f>SUBTOTAL(103,Novembre[11])</f>
        <v>0</v>
      </c>
      <c r="N14" s="4">
        <f>SUBTOTAL(103,Novembre[12])</f>
        <v>0</v>
      </c>
      <c r="O14" s="4">
        <f>SUBTOTAL(103,Novembre[13])</f>
        <v>0</v>
      </c>
      <c r="P14" s="4">
        <f>SUBTOTAL(103,Novembre[14])</f>
        <v>0</v>
      </c>
      <c r="Q14" s="4">
        <f>SUBTOTAL(103,Novembre[15])</f>
        <v>0</v>
      </c>
      <c r="R14" s="4">
        <f>SUBTOTAL(103,Novembre[16])</f>
        <v>0</v>
      </c>
      <c r="S14" s="4">
        <f>SUBTOTAL(103,Novembre[17])</f>
        <v>0</v>
      </c>
      <c r="T14" s="4">
        <f>SUBTOTAL(103,Novembre[18])</f>
        <v>0</v>
      </c>
      <c r="U14" s="4">
        <f>SUBTOTAL(103,Novembre[19])</f>
        <v>0</v>
      </c>
      <c r="V14" s="4">
        <f>SUBTOTAL(103,Novembre[20])</f>
        <v>0</v>
      </c>
      <c r="W14" s="4">
        <f>SUBTOTAL(103,Novembre[21])</f>
        <v>0</v>
      </c>
      <c r="X14" s="4">
        <f>SUBTOTAL(103,Novembre[22])</f>
        <v>0</v>
      </c>
      <c r="Y14" s="4">
        <f>SUBTOTAL(103,Novembre[23])</f>
        <v>0</v>
      </c>
      <c r="Z14" s="4">
        <f>SUBTOTAL(103,Novembre[24])</f>
        <v>0</v>
      </c>
      <c r="AA14" s="4">
        <f>SUBTOTAL(103,Novembre[25])</f>
        <v>0</v>
      </c>
      <c r="AB14" s="4">
        <f>SUBTOTAL(103,Novembre[26])</f>
        <v>0</v>
      </c>
      <c r="AC14" s="4">
        <f>SUBTOTAL(103,Novembre[27])</f>
        <v>0</v>
      </c>
      <c r="AD14" s="4">
        <f>SUBTOTAL(103,Novembre[28])</f>
        <v>0</v>
      </c>
      <c r="AE14" s="4">
        <f>SUBTOTAL(103,Novembre[29])</f>
        <v>0</v>
      </c>
      <c r="AF14" s="4">
        <f>SUBTOTAL(109,Novembre[30])</f>
        <v>0</v>
      </c>
      <c r="AG14" s="4">
        <f>SUBTOTAL(109,Novembre[[ ]])</f>
        <v>0</v>
      </c>
      <c r="AH14" s="4">
        <f>SUBTOTAL(109,Novembre[Total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9" priority="2" stopIfTrue="1">
      <formula>C9=CléPersonnalisée2</formula>
    </cfRule>
    <cfRule type="expression" dxfId="8" priority="3" stopIfTrue="1">
      <formula>C9=CléPersonnalisée1</formula>
    </cfRule>
    <cfRule type="expression" dxfId="7" priority="4" stopIfTrue="1">
      <formula>C9=CléMaladie</formula>
    </cfRule>
    <cfRule type="expression" dxfId="6" priority="5" stopIfTrue="1">
      <formula>C9=CléPersonnel</formula>
    </cfRule>
    <cfRule type="expression" dxfId="5" priority="6" stopIfTrue="1">
      <formula>C9=CléCongé</formula>
    </cfRule>
  </conditionalFormatting>
  <conditionalFormatting sqref="AH9: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97706874-D6EF-7649-8BB0-992E1F25B73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A00-000001000000}"/>
    <dataValidation allowBlank="1" showInputMessage="1" showErrorMessage="1" prompt="Cette ligne définit les clés utilisées dans le tableau : la cellule C4 un congé, la G4 personnel, et K4 un congé maladie. Les cellules N4 et R4 sont personnalisables " sqref="B4" xr:uid="{3113BD82-2D3E-8F4A-8BB6-5BEEE7BE0789}"/>
    <dataValidation allowBlank="1" showInputMessage="1" showErrorMessage="1" prompt="Entrez une étiquette pour décrire la clé personnalisée à gauche" sqref="O4 T4" xr:uid="{A86CB440-B533-424A-8D03-E3DB8DF4EAA1}"/>
    <dataValidation allowBlank="1" showInputMessage="1" showErrorMessage="1" prompt="Entrez une lettre et personnalisez l’étiquette à droite pour ajouter un élément de clé" sqref="N4 S4" xr:uid="{B56DEA51-A5A3-46FA-8457-C2DD513FDBB0}"/>
    <dataValidation allowBlank="1" showInputMessage="1" showErrorMessage="1" prompt="La lettre « M » indique une absence pour cause de maladie" sqref="J4" xr:uid="{0B059E11-5F41-4709-9A71-E58733B19FE1}"/>
    <dataValidation allowBlank="1" showInputMessage="1" showErrorMessage="1" prompt="La lettre « P » indique une absence pour motifs personnels" sqref="F4" xr:uid="{C8EBAE2F-EB6D-45E4-89CA-63F9347DF61C}"/>
    <dataValidation allowBlank="1" showInputMessage="1" showErrorMessage="1" prompt="La lettre « C » indique une absence pour cause de congé" sqref="C4" xr:uid="{9400F38E-7244-4B38-9732-ED0572C57F4C}"/>
    <dataValidation allowBlank="1" showInputMessage="1" showErrorMessage="1" prompt="Le titre mis à jour automatiquement figure dans cette cellule. Pour modifier le titre, mettez à jour la cellule B1 de la feuille de calcul Janvier" sqref="B2"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3B118AC1-307A-6645-A98D-9A80D2AE0EE3}"/>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8" xr:uid="{689D502A-5D97-B44F-AA8E-4AB5A8802DDE}"/>
    <dataValidation allowBlank="1" showInputMessage="1" showErrorMessage="1" prompt="Année mise à jour automatiquement en fonction de l’année entrée dans la feuille de calcul Janvier" sqref="AH6" xr:uid="{CA024147-D189-C949-8452-0A51ECF8D4AA}"/>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EEC83F4-4C72-7D4D-B442-B00CC4990A25}"/>
    <dataValidation allowBlank="1" showInputMessage="1" showErrorMessage="1" prompt="Le titre de la feuille de calcul figure dans cette cellule. " sqref="B1" xr:uid="{C3B9D9EA-9B20-4756-B664-7AA7A0EDAD1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B9:B13</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6" tint="0.39997558519241921"/>
  </sheetPr>
  <dimension ref="B1:AH14"/>
  <sheetViews>
    <sheetView showGridLines="0" zoomScaleNormal="100" workbookViewId="0"/>
  </sheetViews>
  <sheetFormatPr baseColWidth="10" defaultColWidth="8.6640625" defaultRowHeight="30" customHeight="1"/>
  <cols>
    <col min="1" max="1" width="2.6640625" customWidth="1"/>
    <col min="2" max="2" width="30.33203125" customWidth="1"/>
    <col min="3" max="33" width="4.6640625" customWidth="1"/>
    <col min="34" max="34" width="13.44140625" customWidth="1"/>
    <col min="35" max="35" width="2.6640625" customWidth="1"/>
  </cols>
  <sheetData>
    <row r="1" spans="2:34" ht="50.1" customHeight="1">
      <c r="B1" s="26" t="s">
        <v>0</v>
      </c>
    </row>
    <row r="2" spans="2:34" ht="100.35" customHeight="1">
      <c r="B2" s="25" t="s">
        <v>62</v>
      </c>
    </row>
    <row r="3" spans="2:34" ht="15" customHeight="1">
      <c r="B3" s="10"/>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1"/>
      <c r="AH3" s="11"/>
    </row>
    <row r="4" spans="2:34" ht="30" customHeight="1">
      <c r="B4" s="8" t="s">
        <v>2</v>
      </c>
      <c r="C4" s="31" t="s">
        <v>9</v>
      </c>
      <c r="D4" s="37" t="s">
        <v>12</v>
      </c>
      <c r="E4" s="37"/>
      <c r="F4" s="29" t="s">
        <v>15</v>
      </c>
      <c r="G4" s="37" t="s">
        <v>19</v>
      </c>
      <c r="H4" s="37"/>
      <c r="I4" s="37"/>
      <c r="J4" s="30" t="s">
        <v>17</v>
      </c>
      <c r="K4" s="37" t="s">
        <v>24</v>
      </c>
      <c r="L4" s="37"/>
      <c r="M4" s="35"/>
      <c r="N4" s="19"/>
      <c r="O4" s="37" t="s">
        <v>28</v>
      </c>
      <c r="P4" s="37"/>
      <c r="Q4" s="37"/>
      <c r="R4" s="37"/>
      <c r="S4" s="20"/>
      <c r="T4" s="37" t="s">
        <v>33</v>
      </c>
      <c r="U4" s="37"/>
      <c r="V4" s="37"/>
      <c r="W4" s="37"/>
    </row>
    <row r="5" spans="2:34" ht="15" customHeight="1">
      <c r="B5" s="9"/>
      <c r="C5" s="9"/>
      <c r="D5" s="9"/>
      <c r="E5" s="9"/>
      <c r="F5" s="9"/>
      <c r="G5" s="9"/>
      <c r="H5" s="9"/>
      <c r="I5" s="9"/>
      <c r="J5" s="9"/>
      <c r="K5" s="9"/>
      <c r="L5" s="9"/>
      <c r="M5" s="9"/>
      <c r="N5" s="9"/>
      <c r="O5" s="9"/>
      <c r="P5" s="9"/>
      <c r="Q5" s="9"/>
      <c r="R5" s="9"/>
      <c r="S5" s="9"/>
      <c r="T5" s="9"/>
      <c r="U5" s="9"/>
      <c r="V5" s="9"/>
      <c r="W5" s="9"/>
      <c r="X5" s="9"/>
      <c r="Y5" s="9"/>
      <c r="Z5" s="9"/>
      <c r="AA5" s="9"/>
      <c r="AB5" s="9"/>
      <c r="AC5" s="9"/>
      <c r="AD5" s="9"/>
      <c r="AE5" s="9"/>
      <c r="AF5" s="9"/>
      <c r="AG5" s="9"/>
      <c r="AH5" s="9"/>
    </row>
    <row r="6" spans="2:34" ht="50.1" customHeight="1">
      <c r="B6" s="7"/>
      <c r="C6" s="36" t="s">
        <v>10</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7">
        <f>CalendarYear</f>
        <v>2023</v>
      </c>
    </row>
    <row r="7" spans="2:34" ht="30" customHeight="1">
      <c r="B7" s="7"/>
      <c r="C7" s="23" t="str">
        <f>TEXT(WEEKDAY(DATE(CalendarYear,12,1),1),"jjj")</f>
        <v>ven</v>
      </c>
      <c r="D7" s="23" t="str">
        <f>TEXT(WEEKDAY(DATE(CalendarYear,12,2),1),"jjj")</f>
        <v>sam</v>
      </c>
      <c r="E7" s="23" t="str">
        <f>TEXT(WEEKDAY(DATE(CalendarYear,12,3),1),"jjj")</f>
        <v>dim</v>
      </c>
      <c r="F7" s="23" t="str">
        <f>TEXT(WEEKDAY(DATE(CalendarYear,12,4),1),"jjj")</f>
        <v>lun</v>
      </c>
      <c r="G7" s="23" t="str">
        <f>TEXT(WEEKDAY(DATE(CalendarYear,12,5),1),"jjj")</f>
        <v>mar</v>
      </c>
      <c r="H7" s="23" t="str">
        <f>TEXT(WEEKDAY(DATE(CalendarYear,12,6),1),"jjj")</f>
        <v>mer</v>
      </c>
      <c r="I7" s="23" t="str">
        <f>TEXT(WEEKDAY(DATE(CalendarYear,12,7),1),"jjj")</f>
        <v>jeu</v>
      </c>
      <c r="J7" s="23" t="str">
        <f>TEXT(WEEKDAY(DATE(CalendarYear,12,8),1),"jjj")</f>
        <v>ven</v>
      </c>
      <c r="K7" s="23" t="str">
        <f>TEXT(WEEKDAY(DATE(CalendarYear,12,9),1),"jjj")</f>
        <v>sam</v>
      </c>
      <c r="L7" s="23" t="str">
        <f>TEXT(WEEKDAY(DATE(CalendarYear,12,10),1),"jjj")</f>
        <v>dim</v>
      </c>
      <c r="M7" s="23" t="str">
        <f>TEXT(WEEKDAY(DATE(CalendarYear,12,11),1),"jjj")</f>
        <v>lun</v>
      </c>
      <c r="N7" s="23" t="str">
        <f>TEXT(WEEKDAY(DATE(CalendarYear,12,12),1),"jjj")</f>
        <v>mar</v>
      </c>
      <c r="O7" s="23" t="str">
        <f>TEXT(WEEKDAY(DATE(CalendarYear,12,13),1),"jjj")</f>
        <v>mer</v>
      </c>
      <c r="P7" s="23" t="str">
        <f>TEXT(WEEKDAY(DATE(CalendarYear,12,14),1),"jjj")</f>
        <v>jeu</v>
      </c>
      <c r="Q7" s="23" t="str">
        <f>TEXT(WEEKDAY(DATE(CalendarYear,12,15),1),"jjj")</f>
        <v>ven</v>
      </c>
      <c r="R7" s="23" t="str">
        <f>TEXT(WEEKDAY(DATE(CalendarYear,12,16),1),"jjj")</f>
        <v>sam</v>
      </c>
      <c r="S7" s="23" t="str">
        <f>TEXT(WEEKDAY(DATE(CalendarYear,12,17),1),"jjj")</f>
        <v>dim</v>
      </c>
      <c r="T7" s="23" t="str">
        <f>TEXT(WEEKDAY(DATE(CalendarYear,12,18),1),"jjj")</f>
        <v>lun</v>
      </c>
      <c r="U7" s="23" t="str">
        <f>TEXT(WEEKDAY(DATE(CalendarYear,12,19),1),"jjj")</f>
        <v>mar</v>
      </c>
      <c r="V7" s="23" t="str">
        <f>TEXT(WEEKDAY(DATE(CalendarYear,12,20),1),"jjj")</f>
        <v>mer</v>
      </c>
      <c r="W7" s="23" t="str">
        <f>TEXT(WEEKDAY(DATE(CalendarYear,12,21),1),"jjj")</f>
        <v>jeu</v>
      </c>
      <c r="X7" s="23" t="str">
        <f>TEXT(WEEKDAY(DATE(CalendarYear,12,22),1),"jjj")</f>
        <v>ven</v>
      </c>
      <c r="Y7" s="23" t="str">
        <f>TEXT(WEEKDAY(DATE(CalendarYear,12,23),1),"jjj")</f>
        <v>sam</v>
      </c>
      <c r="Z7" s="23" t="str">
        <f>TEXT(WEEKDAY(DATE(CalendarYear,12,24),1),"jjj")</f>
        <v>dim</v>
      </c>
      <c r="AA7" s="23" t="str">
        <f>TEXT(WEEKDAY(DATE(CalendarYear,12,25),1),"jjj")</f>
        <v>lun</v>
      </c>
      <c r="AB7" s="23" t="str">
        <f>TEXT(WEEKDAY(DATE(CalendarYear,12,26),1),"jjj")</f>
        <v>mar</v>
      </c>
      <c r="AC7" s="23" t="str">
        <f>TEXT(WEEKDAY(DATE(CalendarYear,12,27),1),"jjj")</f>
        <v>mer</v>
      </c>
      <c r="AD7" s="23" t="str">
        <f>TEXT(WEEKDAY(DATE(CalendarYear,12,28),1),"jjj")</f>
        <v>jeu</v>
      </c>
      <c r="AE7" s="23" t="str">
        <f>TEXT(WEEKDAY(DATE(CalendarYear,12,29),1),"jjj")</f>
        <v>ven</v>
      </c>
      <c r="AF7" s="23" t="str">
        <f>TEXT(WEEKDAY(DATE(CalendarYear,12,30),1),"jjj")</f>
        <v>sam</v>
      </c>
      <c r="AG7" s="23" t="str">
        <f>TEXT(WEEKDAY(DATE(CalendarYear,12,31),1),"jjj")</f>
        <v>dim</v>
      </c>
      <c r="AH7" s="7"/>
    </row>
    <row r="8" spans="2:34" ht="30" customHeight="1">
      <c r="B8" s="22"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34</v>
      </c>
      <c r="T8" s="1" t="s">
        <v>35</v>
      </c>
      <c r="U8" s="1" t="s">
        <v>36</v>
      </c>
      <c r="V8" s="1" t="s">
        <v>37</v>
      </c>
      <c r="W8" s="1" t="s">
        <v>38</v>
      </c>
      <c r="X8" s="1" t="s">
        <v>39</v>
      </c>
      <c r="Y8" s="1" t="s">
        <v>40</v>
      </c>
      <c r="Z8" s="1" t="s">
        <v>41</v>
      </c>
      <c r="AA8" s="1" t="s">
        <v>42</v>
      </c>
      <c r="AB8" s="1" t="s">
        <v>43</v>
      </c>
      <c r="AC8" s="1" t="s">
        <v>44</v>
      </c>
      <c r="AD8" s="1" t="s">
        <v>45</v>
      </c>
      <c r="AE8" s="1" t="s">
        <v>46</v>
      </c>
      <c r="AF8" s="1" t="s">
        <v>47</v>
      </c>
      <c r="AG8" s="1" t="s">
        <v>48</v>
      </c>
      <c r="AH8" s="24" t="s">
        <v>49</v>
      </c>
    </row>
    <row r="9" spans="2:34"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COUNTA(Décembre[[#This Row],[1]:[31]])</f>
        <v>0</v>
      </c>
    </row>
    <row r="10" spans="2:34"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COUNTA(Décembre[[#This Row],[1]:[31]])</f>
        <v>0</v>
      </c>
    </row>
    <row r="11" spans="2:34"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COUNTA(Décembre[[#This Row],[1]:[31]])</f>
        <v>0</v>
      </c>
    </row>
    <row r="12" spans="2:34"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COUNTA(Décembre[[#This Row],[1]:[31]])</f>
        <v>0</v>
      </c>
    </row>
    <row r="13" spans="2:34"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COUNTA(Décembre[[#This Row],[1]:[31]])</f>
        <v>0</v>
      </c>
    </row>
    <row r="14" spans="2:34" ht="30" customHeight="1">
      <c r="B14" s="5" t="str">
        <f>NomMois&amp;" Total"</f>
        <v>Décembre Total</v>
      </c>
      <c r="C14" s="4">
        <f>SUBTOTAL(103,Décembre[1])</f>
        <v>0</v>
      </c>
      <c r="D14" s="4">
        <f>SUBTOTAL(103,Décembre[2])</f>
        <v>0</v>
      </c>
      <c r="E14" s="4">
        <f>SUBTOTAL(103,Décembre[3])</f>
        <v>0</v>
      </c>
      <c r="F14" s="4">
        <f>SUBTOTAL(103,Décembre[4])</f>
        <v>0</v>
      </c>
      <c r="G14" s="4">
        <f>SUBTOTAL(103,Décembre[5])</f>
        <v>0</v>
      </c>
      <c r="H14" s="4">
        <f>SUBTOTAL(103,Décembre[6])</f>
        <v>0</v>
      </c>
      <c r="I14" s="4">
        <f>SUBTOTAL(103,Décembre[7])</f>
        <v>0</v>
      </c>
      <c r="J14" s="4">
        <f>SUBTOTAL(103,Décembre[8])</f>
        <v>0</v>
      </c>
      <c r="K14" s="4">
        <f>SUBTOTAL(103,Décembre[9])</f>
        <v>0</v>
      </c>
      <c r="L14" s="4">
        <f>SUBTOTAL(103,Décembre[10])</f>
        <v>0</v>
      </c>
      <c r="M14" s="4">
        <f>SUBTOTAL(103,Décembre[11])</f>
        <v>0</v>
      </c>
      <c r="N14" s="4">
        <f>SUBTOTAL(103,Décembre[12])</f>
        <v>0</v>
      </c>
      <c r="O14" s="4">
        <f>SUBTOTAL(103,Décembre[13])</f>
        <v>0</v>
      </c>
      <c r="P14" s="4">
        <f>SUBTOTAL(103,Décembre[14])</f>
        <v>0</v>
      </c>
      <c r="Q14" s="4">
        <f>SUBTOTAL(103,Décembre[15])</f>
        <v>0</v>
      </c>
      <c r="R14" s="4">
        <f>SUBTOTAL(103,Décembre[16])</f>
        <v>0</v>
      </c>
      <c r="S14" s="4">
        <f>SUBTOTAL(103,Décembre[17])</f>
        <v>0</v>
      </c>
      <c r="T14" s="4">
        <f>SUBTOTAL(103,Décembre[18])</f>
        <v>0</v>
      </c>
      <c r="U14" s="4">
        <f>SUBTOTAL(103,Décembre[19])</f>
        <v>0</v>
      </c>
      <c r="V14" s="4">
        <f>SUBTOTAL(103,Décembre[20])</f>
        <v>0</v>
      </c>
      <c r="W14" s="4">
        <f>SUBTOTAL(103,Décembre[21])</f>
        <v>0</v>
      </c>
      <c r="X14" s="4">
        <f>SUBTOTAL(103,Décembre[22])</f>
        <v>0</v>
      </c>
      <c r="Y14" s="4">
        <f>SUBTOTAL(103,Décembre[23])</f>
        <v>0</v>
      </c>
      <c r="Z14" s="4">
        <f>SUBTOTAL(103,Décembre[24])</f>
        <v>0</v>
      </c>
      <c r="AA14" s="4">
        <f>SUBTOTAL(103,Décembre[25])</f>
        <v>0</v>
      </c>
      <c r="AB14" s="4">
        <f>SUBTOTAL(103,Décembre[26])</f>
        <v>0</v>
      </c>
      <c r="AC14" s="4">
        <f>SUBTOTAL(103,Décembre[27])</f>
        <v>0</v>
      </c>
      <c r="AD14" s="4">
        <f>SUBTOTAL(103,Décembre[28])</f>
        <v>0</v>
      </c>
      <c r="AE14" s="4">
        <f>SUBTOTAL(103,Décembre[29])</f>
        <v>0</v>
      </c>
      <c r="AF14" s="4">
        <f>SUBTOTAL(109,Décembre[30])</f>
        <v>0</v>
      </c>
      <c r="AG14" s="4">
        <f>SUBTOTAL(109,Décembre[31])</f>
        <v>0</v>
      </c>
      <c r="AH14" s="4">
        <f>SUBTOTAL(109,Décembre[Total des jours])</f>
        <v>0</v>
      </c>
    </row>
  </sheetData>
  <mergeCells count="6">
    <mergeCell ref="C6:AG6"/>
    <mergeCell ref="D4:E4"/>
    <mergeCell ref="G4:I4"/>
    <mergeCell ref="K4:L4"/>
    <mergeCell ref="O4:R4"/>
    <mergeCell ref="T4:W4"/>
  </mergeCells>
  <phoneticPr fontId="32" type="noConversion"/>
  <conditionalFormatting sqref="C9:AG13">
    <cfRule type="expression" priority="1" stopIfTrue="1">
      <formula>C9=""</formula>
    </cfRule>
    <cfRule type="expression" dxfId="4" priority="2" stopIfTrue="1">
      <formula>C9=CléPersonnalisée2</formula>
    </cfRule>
    <cfRule type="expression" dxfId="3" priority="3" stopIfTrue="1">
      <formula>C9=CléPersonnalisée1</formula>
    </cfRule>
    <cfRule type="expression" dxfId="2" priority="4" stopIfTrue="1">
      <formula>C9=CléMaladie</formula>
    </cfRule>
    <cfRule type="expression" dxfId="1" priority="5" stopIfTrue="1">
      <formula>C9=CléPersonnel</formula>
    </cfRule>
    <cfRule type="expression" dxfId="0" priority="6" stopIfTrue="1">
      <formula>C9=CléCongé</formula>
    </cfRule>
  </conditionalFormatting>
  <conditionalFormatting sqref="AH9:AH13">
    <cfRule type="dataBar" priority="30">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L’année est mise à jour automatiquement en fonction de l’année entrée dans la feuille de calcul Janvier" sqref="AH6" xr:uid="{F939E1BE-E9C7-DD4A-972C-CB40EF785EA4}"/>
    <dataValidation allowBlank="1" showInputMessage="1" showErrorMessage="1" prompt="Calcule automatiquement le nombre total de jours d’absence d’un employé durant ce mois dans cette colonne" sqref="AH8" xr:uid="{E810E773-697E-9042-BA14-6FFBF70DB80B}"/>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25CB198-02E4-9141-B0E1-E7775C53D7BD}"/>
    <dataValidation allowBlank="1" showInputMessage="1" showErrorMessage="1" prompt="La lettre « C » indique une absence pour cause de congé" sqref="C4" xr:uid="{0C8F963E-20B0-4BB7-8753-4672DBF421EA}"/>
    <dataValidation allowBlank="1" showInputMessage="1" showErrorMessage="1" prompt="La lettre « P » indique une absence pour motifs personnels" sqref="F4" xr:uid="{7818CE92-122C-4B8E-93A3-2A352DA871F2}"/>
    <dataValidation allowBlank="1" showInputMessage="1" showErrorMessage="1" prompt="La lettre « M » indique une absence pour cause de maladie" sqref="J4" xr:uid="{3F913EFA-F912-40EF-B83F-7E8F829335D5}"/>
    <dataValidation allowBlank="1" showInputMessage="1" showErrorMessage="1" prompt="Entrez une lettre et personnalisez l’étiquette à droite pour ajouter un élément de clé" sqref="N4 S4" xr:uid="{A9C4E273-3F66-433F-9438-F10BD8B2DB9A}"/>
    <dataValidation allowBlank="1" showInputMessage="1" showErrorMessage="1" prompt="Entrez une étiquette pour décrire la clé personnalisée à gauche" sqref="O4 T4" xr:uid="{F6387ED1-67EF-4528-9384-30691E84F848}"/>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B00-00000B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482EFB3-0A55-4547-B0F2-69F4B25A0231}"/>
    <dataValidation allowBlank="1" showInputMessage="1" showErrorMessage="1" prompt="Le titre de la feuille de calcul figure dans cette cellule. " sqref="B1" xr:uid="{FDB263A1-B6DC-D444-9FD0-77187D98486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CB1E42E3-65E1-5041-91B2-633C92F4BB63}"/>
    <dataValidation allowBlank="1" showInputMessage="1" showErrorMessage="1" prompt="Cette ligne définit les clés utilisées dans le tableau : la cellule C4 un congé, la G4 personnel, et K4 un congé maladie. Les cellules N4 et R4 sont personnalisables " sqref="B4" xr:uid="{7C3D3AA3-51C0-46FC-A6A3-BE2B656A1D6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B9:B13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B8"/>
  <sheetViews>
    <sheetView showGridLines="0" zoomScaleNormal="100" workbookViewId="0"/>
  </sheetViews>
  <sheetFormatPr baseColWidth="10" defaultColWidth="8.6640625" defaultRowHeight="30" customHeight="1"/>
  <cols>
    <col min="1" max="1" width="2.6640625" customWidth="1"/>
    <col min="2" max="2" width="32.109375" customWidth="1"/>
    <col min="3" max="3" width="2.6640625" customWidth="1"/>
  </cols>
  <sheetData>
    <row r="1" spans="2:2" ht="49.95" customHeight="1">
      <c r="B1" s="13" t="s">
        <v>63</v>
      </c>
    </row>
    <row r="2" spans="2:2" ht="15" customHeight="1"/>
    <row r="3" spans="2:2" ht="30" customHeight="1">
      <c r="B3" t="s">
        <v>63</v>
      </c>
    </row>
    <row r="4" spans="2:2" ht="30" customHeight="1">
      <c r="B4" s="6" t="s">
        <v>4</v>
      </c>
    </row>
    <row r="5" spans="2:2" ht="30" customHeight="1">
      <c r="B5" s="6" t="s">
        <v>5</v>
      </c>
    </row>
    <row r="6" spans="2:2" ht="30" customHeight="1">
      <c r="B6" s="6" t="s">
        <v>6</v>
      </c>
    </row>
    <row r="7" spans="2:2" ht="30" customHeight="1">
      <c r="B7" s="6" t="s">
        <v>7</v>
      </c>
    </row>
    <row r="8" spans="2:2" ht="30" customHeight="1">
      <c r="B8" s="6" t="s">
        <v>8</v>
      </c>
    </row>
  </sheetData>
  <phoneticPr fontId="32" type="noConversion"/>
  <dataValidations count="2">
    <dataValidation allowBlank="1" showInputMessage="1" showErrorMessage="1" prompt="Entrez les noms des employés dans le tableau Noms des employés de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6" ma:contentTypeDescription="Create a new document." ma:contentTypeScope="" ma:versionID="ac37c1753acd5e330d2062ccec26ea66">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3b340c7101c92c5120abd06486f94548"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 
</file>

<file path=customXml/itemProps1.xml><?xml version="1.0" encoding="utf-8"?>
<ds:datastoreItem xmlns:ds="http://schemas.openxmlformats.org/officeDocument/2006/customXml" ds:itemID="{5C1DB48D-B39A-4027-AC09-EC0D149B5064}">
  <ds:schemaRefs>
    <ds:schemaRef ds:uri="http://schemas.microsoft.com/sharepoint/v3/contenttype/forms"/>
  </ds:schemaRefs>
</ds:datastoreItem>
</file>

<file path=customXml/itemProps2.xml><?xml version="1.0" encoding="utf-8"?>
<ds:datastoreItem xmlns:ds="http://schemas.openxmlformats.org/officeDocument/2006/customXml" ds:itemID="{CF416EBA-1ECE-4253-8F5F-379C4C21BCA1}">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3.xml><?xml version="1.0" encoding="utf-8"?>
<ds:datastoreItem xmlns:ds="http://schemas.openxmlformats.org/officeDocument/2006/customXml" ds:itemID="{07D05670-3C2E-4910-93A4-3F46AB1A1CD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7044FFC6-3677-4BD9-92E3-B42845C6F7F9}">
  <ds:schemaRefs>
    <ds:schemaRef ds:uri="http://schemas.microsoft.com/DataMashup"/>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TM03987167</Template>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CalendarYear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2023-01-31T06:59:27Z</dcterms:created>
  <dcterms:modified xsi:type="dcterms:W3CDTF">2025-09-25T12:16:57Z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