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90" windowWidth="18795" windowHeight="12120"/>
  </bookViews>
  <sheets>
    <sheet name="bourso" sheetId="1" r:id="rId1"/>
    <sheet name="saisie achats" sheetId="5" r:id="rId2"/>
    <sheet name="p revient" sheetId="6" r:id="rId3"/>
    <sheet name="Feuil2" sheetId="8" r:id="rId4"/>
  </sheets>
  <definedNames>
    <definedName name="_xlnm._FilterDatabase" localSheetId="1" hidden="1">'saisie achats'!$A$1:$H$92</definedName>
    <definedName name="date">#REF!</definedName>
  </definedNames>
  <calcPr calcId="125725"/>
</workbook>
</file>

<file path=xl/calcChain.xml><?xml version="1.0" encoding="utf-8"?>
<calcChain xmlns="http://schemas.openxmlformats.org/spreadsheetml/2006/main">
  <c r="S6" i="6"/>
  <c r="S7"/>
  <c r="S8"/>
  <c r="S9"/>
  <c r="S10"/>
  <c r="S11"/>
  <c r="S12"/>
  <c r="S13"/>
  <c r="S14"/>
  <c r="S15"/>
  <c r="S16"/>
  <c r="S17"/>
  <c r="S18"/>
  <c r="S19"/>
  <c r="S5"/>
  <c r="I6"/>
  <c r="I7"/>
  <c r="J7" s="1"/>
  <c r="I8"/>
  <c r="J8" s="1"/>
  <c r="I9"/>
  <c r="J9" s="1"/>
  <c r="I10"/>
  <c r="I11"/>
  <c r="I12"/>
  <c r="I13"/>
  <c r="J13" s="1"/>
  <c r="I14"/>
  <c r="I15"/>
  <c r="I16"/>
  <c r="J16" s="1"/>
  <c r="I17"/>
  <c r="J17" s="1"/>
  <c r="I18"/>
  <c r="J18" s="1"/>
  <c r="I19"/>
  <c r="J19" s="1"/>
  <c r="I5"/>
  <c r="C6"/>
  <c r="C7"/>
  <c r="C8"/>
  <c r="C9"/>
  <c r="C10"/>
  <c r="C11"/>
  <c r="C12"/>
  <c r="C13"/>
  <c r="C14"/>
  <c r="C15"/>
  <c r="C16"/>
  <c r="C17"/>
  <c r="C18"/>
  <c r="C19"/>
  <c r="C5"/>
  <c r="I85" i="5" l="1"/>
  <c r="I75"/>
  <c r="I69"/>
  <c r="I62"/>
  <c r="I57"/>
  <c r="I55"/>
  <c r="I49"/>
  <c r="I41"/>
  <c r="I33"/>
  <c r="I26"/>
  <c r="I20"/>
  <c r="I17"/>
  <c r="I10"/>
  <c r="I6"/>
  <c r="I7" s="1"/>
  <c r="I8" s="1"/>
  <c r="I9" s="1"/>
  <c r="I2"/>
  <c r="I3" s="1"/>
  <c r="I4" s="1"/>
  <c r="I5" s="1"/>
  <c r="L19" i="6"/>
  <c r="F19"/>
  <c r="F18"/>
  <c r="K17"/>
  <c r="L17"/>
  <c r="F17"/>
  <c r="F16"/>
  <c r="L15"/>
  <c r="F15"/>
  <c r="F14"/>
  <c r="L13"/>
  <c r="F13"/>
  <c r="F12"/>
  <c r="L11"/>
  <c r="F11"/>
  <c r="L10"/>
  <c r="L9"/>
  <c r="F8"/>
  <c r="K7"/>
  <c r="F7"/>
  <c r="L6"/>
  <c r="F6"/>
  <c r="L5"/>
  <c r="C3"/>
  <c r="G40" i="5"/>
  <c r="F40"/>
  <c r="E40"/>
  <c r="G19"/>
  <c r="F19"/>
  <c r="E19"/>
  <c r="G48"/>
  <c r="F48"/>
  <c r="E48"/>
  <c r="G84"/>
  <c r="F84"/>
  <c r="E84"/>
  <c r="G74"/>
  <c r="F74"/>
  <c r="E74"/>
  <c r="G68"/>
  <c r="F68"/>
  <c r="E68"/>
  <c r="G25"/>
  <c r="F25"/>
  <c r="E25"/>
  <c r="G16"/>
  <c r="F16"/>
  <c r="E16"/>
  <c r="G73"/>
  <c r="F73"/>
  <c r="E73"/>
  <c r="G67"/>
  <c r="F67"/>
  <c r="E67"/>
  <c r="G54"/>
  <c r="F54"/>
  <c r="E54"/>
  <c r="G83"/>
  <c r="F83"/>
  <c r="E83"/>
  <c r="G39"/>
  <c r="F39"/>
  <c r="J11" i="6" s="1"/>
  <c r="E39" i="5"/>
  <c r="G47"/>
  <c r="F47"/>
  <c r="E47"/>
  <c r="G15"/>
  <c r="F15"/>
  <c r="E15"/>
  <c r="G90"/>
  <c r="F90"/>
  <c r="E90"/>
  <c r="G24"/>
  <c r="F24"/>
  <c r="E24"/>
  <c r="G46"/>
  <c r="F46"/>
  <c r="E46"/>
  <c r="G82"/>
  <c r="F82"/>
  <c r="E82"/>
  <c r="G66"/>
  <c r="F66"/>
  <c r="E66"/>
  <c r="G53"/>
  <c r="F53"/>
  <c r="E53"/>
  <c r="G89"/>
  <c r="F89"/>
  <c r="E89"/>
  <c r="G9"/>
  <c r="F9"/>
  <c r="J6" i="6" s="1"/>
  <c r="E9" i="5"/>
  <c r="G23"/>
  <c r="F23"/>
  <c r="E23"/>
  <c r="G65"/>
  <c r="F65"/>
  <c r="E65"/>
  <c r="G14"/>
  <c r="F14"/>
  <c r="E14"/>
  <c r="G52"/>
  <c r="F52"/>
  <c r="E52"/>
  <c r="G32"/>
  <c r="F32"/>
  <c r="J10" i="6" s="1"/>
  <c r="E32" i="5"/>
  <c r="G51"/>
  <c r="F51"/>
  <c r="E51"/>
  <c r="G13"/>
  <c r="F13"/>
  <c r="E13"/>
  <c r="G38"/>
  <c r="F38"/>
  <c r="E38"/>
  <c r="G12"/>
  <c r="F12"/>
  <c r="E12"/>
  <c r="G81"/>
  <c r="F81"/>
  <c r="E81"/>
  <c r="G45"/>
  <c r="F45"/>
  <c r="E45"/>
  <c r="G5"/>
  <c r="F5"/>
  <c r="J5" i="6" s="1"/>
  <c r="E5" i="5"/>
  <c r="G80"/>
  <c r="F80"/>
  <c r="E80"/>
  <c r="G56"/>
  <c r="F56"/>
  <c r="J14" i="6" s="1"/>
  <c r="E56" i="5"/>
  <c r="G61"/>
  <c r="F61"/>
  <c r="E61"/>
  <c r="G60"/>
  <c r="F60"/>
  <c r="E60"/>
  <c r="G79"/>
  <c r="F79"/>
  <c r="E79"/>
  <c r="G88"/>
  <c r="F88"/>
  <c r="E88"/>
  <c r="G37"/>
  <c r="F37"/>
  <c r="E37"/>
  <c r="G8"/>
  <c r="F8"/>
  <c r="E8"/>
  <c r="G36"/>
  <c r="F36"/>
  <c r="E36"/>
  <c r="G4"/>
  <c r="F4"/>
  <c r="E4"/>
  <c r="G59"/>
  <c r="F59"/>
  <c r="J15" i="6" s="1"/>
  <c r="E59" i="5"/>
  <c r="G44"/>
  <c r="F44"/>
  <c r="J12" i="6" s="1"/>
  <c r="E44" i="5"/>
  <c r="G78"/>
  <c r="F78"/>
  <c r="E78"/>
  <c r="G35"/>
  <c r="F35"/>
  <c r="E35"/>
  <c r="G72"/>
  <c r="F72"/>
  <c r="E72"/>
  <c r="G31"/>
  <c r="F31"/>
  <c r="E31"/>
  <c r="G77"/>
  <c r="F77"/>
  <c r="E77"/>
  <c r="G64"/>
  <c r="F64"/>
  <c r="E64"/>
  <c r="G30"/>
  <c r="F30"/>
  <c r="E30"/>
  <c r="G29"/>
  <c r="F29"/>
  <c r="E29"/>
  <c r="G43"/>
  <c r="F43"/>
  <c r="E43"/>
  <c r="G63"/>
  <c r="F63"/>
  <c r="E63"/>
  <c r="G58"/>
  <c r="F58"/>
  <c r="E58"/>
  <c r="G42"/>
  <c r="F42"/>
  <c r="E42"/>
  <c r="G34"/>
  <c r="F34"/>
  <c r="E34"/>
  <c r="G22"/>
  <c r="F22"/>
  <c r="E22"/>
  <c r="G87"/>
  <c r="F87"/>
  <c r="E87"/>
  <c r="G76"/>
  <c r="F76"/>
  <c r="E76"/>
  <c r="G71"/>
  <c r="F71"/>
  <c r="E71"/>
  <c r="G28"/>
  <c r="F28"/>
  <c r="E28"/>
  <c r="G21"/>
  <c r="F21"/>
  <c r="E21"/>
  <c r="G11"/>
  <c r="F11"/>
  <c r="E11"/>
  <c r="G3"/>
  <c r="F3"/>
  <c r="E3"/>
  <c r="G50"/>
  <c r="F50"/>
  <c r="E50"/>
  <c r="G18"/>
  <c r="F18"/>
  <c r="E18"/>
  <c r="G86"/>
  <c r="F86"/>
  <c r="E86"/>
  <c r="G70"/>
  <c r="F70"/>
  <c r="E70"/>
  <c r="G7"/>
  <c r="F7"/>
  <c r="E7"/>
  <c r="G27"/>
  <c r="F27"/>
  <c r="E27"/>
  <c r="G57"/>
  <c r="F57"/>
  <c r="E57"/>
  <c r="G75"/>
  <c r="F75"/>
  <c r="E75"/>
  <c r="D18" i="6" s="1"/>
  <c r="G6" i="5"/>
  <c r="F6"/>
  <c r="E6"/>
  <c r="D6" i="6" s="1"/>
  <c r="G17" i="5"/>
  <c r="F17"/>
  <c r="E17"/>
  <c r="D8" i="6" s="1"/>
  <c r="G10" i="5"/>
  <c r="F10"/>
  <c r="E10"/>
  <c r="D7" i="6" s="1"/>
  <c r="G20" i="5"/>
  <c r="F20"/>
  <c r="E20"/>
  <c r="D9" i="6" s="1"/>
  <c r="G55" i="5"/>
  <c r="F55"/>
  <c r="E55"/>
  <c r="D14" i="6" s="1"/>
  <c r="G85" i="5"/>
  <c r="F85"/>
  <c r="E85"/>
  <c r="D19" i="6" s="1"/>
  <c r="G26" i="5"/>
  <c r="F26"/>
  <c r="E26"/>
  <c r="D10" i="6" s="1"/>
  <c r="G49" i="5"/>
  <c r="F49"/>
  <c r="E49"/>
  <c r="D13" i="6" s="1"/>
  <c r="G33" i="5"/>
  <c r="F33"/>
  <c r="E33"/>
  <c r="D11" i="6" s="1"/>
  <c r="G62" i="5"/>
  <c r="F62"/>
  <c r="E62"/>
  <c r="D16" i="6" s="1"/>
  <c r="G69" i="5"/>
  <c r="F69"/>
  <c r="E69"/>
  <c r="D17" i="6" s="1"/>
  <c r="G41" i="5"/>
  <c r="F41"/>
  <c r="E41"/>
  <c r="D12" i="6" s="1"/>
  <c r="G2" i="5"/>
  <c r="F2"/>
  <c r="E2"/>
  <c r="D5" i="6" s="1"/>
  <c r="D15" l="1"/>
  <c r="O10"/>
  <c r="Q10" s="1"/>
  <c r="E11"/>
  <c r="E14"/>
  <c r="E15"/>
  <c r="G15" s="1"/>
  <c r="E16"/>
  <c r="E19"/>
  <c r="G19" s="1"/>
  <c r="K6"/>
  <c r="O9"/>
  <c r="Q9" s="1"/>
  <c r="K9"/>
  <c r="E12"/>
  <c r="G12" s="1"/>
  <c r="E13"/>
  <c r="G13" s="1"/>
  <c r="G11"/>
  <c r="O11"/>
  <c r="Q11" s="1"/>
  <c r="K11"/>
  <c r="M11" s="1"/>
  <c r="O12"/>
  <c r="Q12" s="1"/>
  <c r="K13"/>
  <c r="O14"/>
  <c r="Q14" s="1"/>
  <c r="O16"/>
  <c r="Q16" s="1"/>
  <c r="E17"/>
  <c r="G17" s="1"/>
  <c r="O17"/>
  <c r="Q17" s="1"/>
  <c r="E18"/>
  <c r="G18" s="1"/>
  <c r="K19"/>
  <c r="M19" s="1"/>
  <c r="M9"/>
  <c r="O13"/>
  <c r="Q13" s="1"/>
  <c r="O18"/>
  <c r="Q18" s="1"/>
  <c r="O19"/>
  <c r="Q19" s="1"/>
  <c r="L7"/>
  <c r="M7" s="1"/>
  <c r="O5"/>
  <c r="Q5" s="1"/>
  <c r="K5"/>
  <c r="E8"/>
  <c r="G8" s="1"/>
  <c r="O8"/>
  <c r="Q8" s="1"/>
  <c r="E9"/>
  <c r="E10"/>
  <c r="F10"/>
  <c r="K10"/>
  <c r="M10" s="1"/>
  <c r="K12"/>
  <c r="L12"/>
  <c r="M13"/>
  <c r="K14"/>
  <c r="L14"/>
  <c r="O15"/>
  <c r="Q15" s="1"/>
  <c r="K16"/>
  <c r="L16"/>
  <c r="M17"/>
  <c r="K18"/>
  <c r="L18"/>
  <c r="M6"/>
  <c r="F9"/>
  <c r="G14"/>
  <c r="K15"/>
  <c r="M15" s="1"/>
  <c r="G16"/>
  <c r="H15" i="5"/>
  <c r="H39"/>
  <c r="H54"/>
  <c r="H73"/>
  <c r="H74"/>
  <c r="H48"/>
  <c r="H40"/>
  <c r="I11"/>
  <c r="I12" s="1"/>
  <c r="I13" s="1"/>
  <c r="I14" s="1"/>
  <c r="I15" s="1"/>
  <c r="I16" s="1"/>
  <c r="I18" s="1"/>
  <c r="I19" s="1"/>
  <c r="I21" s="1"/>
  <c r="I22" s="1"/>
  <c r="I23" s="1"/>
  <c r="I24" s="1"/>
  <c r="I25" s="1"/>
  <c r="I27" s="1"/>
  <c r="I50"/>
  <c r="I51" s="1"/>
  <c r="I52" s="1"/>
  <c r="I53" s="1"/>
  <c r="I54" s="1"/>
  <c r="I56" s="1"/>
  <c r="I58" s="1"/>
  <c r="I59" s="1"/>
  <c r="I60" s="1"/>
  <c r="I61" s="1"/>
  <c r="I63" s="1"/>
  <c r="I64" s="1"/>
  <c r="I65" s="1"/>
  <c r="I66" s="1"/>
  <c r="I67" s="1"/>
  <c r="I68" s="1"/>
  <c r="I70" s="1"/>
  <c r="I71" s="1"/>
  <c r="I72" s="1"/>
  <c r="I73" s="1"/>
  <c r="I74" s="1"/>
  <c r="I76" s="1"/>
  <c r="I77" s="1"/>
  <c r="I78" s="1"/>
  <c r="I79" s="1"/>
  <c r="I80" s="1"/>
  <c r="I81" s="1"/>
  <c r="I82" s="1"/>
  <c r="I83" s="1"/>
  <c r="I84" s="1"/>
  <c r="I86" s="1"/>
  <c r="I87" s="1"/>
  <c r="I88" s="1"/>
  <c r="I89" s="1"/>
  <c r="I90" s="1"/>
  <c r="H41"/>
  <c r="H62"/>
  <c r="H49"/>
  <c r="H85"/>
  <c r="H20"/>
  <c r="H17"/>
  <c r="H75"/>
  <c r="H27"/>
  <c r="H70"/>
  <c r="H18"/>
  <c r="H3"/>
  <c r="H21"/>
  <c r="H71"/>
  <c r="H87"/>
  <c r="H34"/>
  <c r="H58"/>
  <c r="H43"/>
  <c r="H30"/>
  <c r="H77"/>
  <c r="H72"/>
  <c r="H78"/>
  <c r="H59"/>
  <c r="H36"/>
  <c r="H37"/>
  <c r="H79"/>
  <c r="H61"/>
  <c r="H80"/>
  <c r="H45"/>
  <c r="H12"/>
  <c r="H13"/>
  <c r="H32"/>
  <c r="H14"/>
  <c r="H23"/>
  <c r="H89"/>
  <c r="H66"/>
  <c r="H46"/>
  <c r="H90"/>
  <c r="H47"/>
  <c r="H83"/>
  <c r="H67"/>
  <c r="H16"/>
  <c r="H68"/>
  <c r="H84"/>
  <c r="H19"/>
  <c r="H2"/>
  <c r="H69"/>
  <c r="H33"/>
  <c r="H26"/>
  <c r="H55"/>
  <c r="H10"/>
  <c r="H6"/>
  <c r="H57"/>
  <c r="H7"/>
  <c r="H86"/>
  <c r="H50"/>
  <c r="H11"/>
  <c r="H28"/>
  <c r="H76"/>
  <c r="H22"/>
  <c r="H42"/>
  <c r="H63"/>
  <c r="H29"/>
  <c r="H64"/>
  <c r="H31"/>
  <c r="H35"/>
  <c r="H44"/>
  <c r="H4"/>
  <c r="H8"/>
  <c r="H88"/>
  <c r="H60"/>
  <c r="H56"/>
  <c r="H5"/>
  <c r="H81"/>
  <c r="H38"/>
  <c r="H51"/>
  <c r="H52"/>
  <c r="H65"/>
  <c r="H9"/>
  <c r="H53"/>
  <c r="H82"/>
  <c r="H24"/>
  <c r="H25"/>
  <c r="M5" i="6"/>
  <c r="O6"/>
  <c r="Q6" s="1"/>
  <c r="O7"/>
  <c r="Q7" s="1"/>
  <c r="I3"/>
  <c r="F5"/>
  <c r="E6"/>
  <c r="G6" s="1"/>
  <c r="E7"/>
  <c r="G7" s="1"/>
  <c r="L8"/>
  <c r="L3" l="1"/>
  <c r="F3"/>
  <c r="M18"/>
  <c r="M12"/>
  <c r="J57" i="5"/>
  <c r="J10"/>
  <c r="J26"/>
  <c r="J69"/>
  <c r="J17"/>
  <c r="J85"/>
  <c r="J62"/>
  <c r="J6"/>
  <c r="J55"/>
  <c r="J56" s="1"/>
  <c r="T14" i="6" s="1"/>
  <c r="J33" i="5"/>
  <c r="J2"/>
  <c r="K2" s="1"/>
  <c r="J75"/>
  <c r="J20"/>
  <c r="J49"/>
  <c r="J41"/>
  <c r="I28"/>
  <c r="I29" s="1"/>
  <c r="I30" s="1"/>
  <c r="I31" s="1"/>
  <c r="I32" s="1"/>
  <c r="I34" s="1"/>
  <c r="I35" s="1"/>
  <c r="I36" s="1"/>
  <c r="I37" s="1"/>
  <c r="I38" s="1"/>
  <c r="I39" s="1"/>
  <c r="I40" s="1"/>
  <c r="I42" s="1"/>
  <c r="I43" s="1"/>
  <c r="I44" s="1"/>
  <c r="I45" s="1"/>
  <c r="I46" s="1"/>
  <c r="I47" s="1"/>
  <c r="I48" s="1"/>
  <c r="M16" i="6"/>
  <c r="M14"/>
  <c r="G9"/>
  <c r="G10"/>
  <c r="E5"/>
  <c r="D3"/>
  <c r="Q3"/>
  <c r="J3"/>
  <c r="K8"/>
  <c r="O3"/>
  <c r="J3" i="5" l="1"/>
  <c r="K3" s="1"/>
  <c r="J4" s="1"/>
  <c r="J5" s="1"/>
  <c r="M8" i="6"/>
  <c r="M3" s="1"/>
  <c r="K3"/>
  <c r="G5"/>
  <c r="G3" s="1"/>
  <c r="E3"/>
  <c r="K5" i="5" l="1"/>
  <c r="K6" s="1"/>
  <c r="J7" s="1"/>
  <c r="T5" i="6"/>
  <c r="K4" i="5"/>
  <c r="K7"/>
  <c r="J8" l="1"/>
  <c r="J9" s="1"/>
  <c r="K9" l="1"/>
  <c r="K10" s="1"/>
  <c r="J11" s="1"/>
  <c r="T6" i="6"/>
  <c r="K8" i="5"/>
  <c r="K11"/>
  <c r="I12" i="1"/>
  <c r="G14"/>
  <c r="G15"/>
  <c r="G16" s="1"/>
  <c r="G17" s="1"/>
  <c r="G13"/>
  <c r="J12"/>
  <c r="I13" s="1"/>
  <c r="J13" s="1"/>
  <c r="I14" s="1"/>
  <c r="I15" s="1"/>
  <c r="G12"/>
  <c r="J5"/>
  <c r="J6" s="1"/>
  <c r="H6"/>
  <c r="H12"/>
  <c r="H13" s="1"/>
  <c r="F4"/>
  <c r="J12" i="5" l="1"/>
  <c r="K12" s="1"/>
  <c r="J13" s="1"/>
  <c r="J14" i="1"/>
  <c r="H14"/>
  <c r="H15" s="1"/>
  <c r="H16" s="1"/>
  <c r="K13" i="5" l="1"/>
  <c r="J15" i="1"/>
  <c r="I16" s="1"/>
  <c r="I17" s="1"/>
  <c r="H17"/>
  <c r="J14" i="5" l="1"/>
  <c r="K14" s="1"/>
  <c r="J17" i="1"/>
  <c r="J16"/>
  <c r="J15" i="5" l="1"/>
  <c r="K15" s="1"/>
  <c r="J16" l="1"/>
  <c r="K16" l="1"/>
  <c r="K17" s="1"/>
  <c r="J18" s="1"/>
  <c r="K18" s="1"/>
  <c r="T7" i="6"/>
  <c r="J19" i="5"/>
  <c r="K19" l="1"/>
  <c r="K20" s="1"/>
  <c r="J21" s="1"/>
  <c r="K21" s="1"/>
  <c r="T8" i="6"/>
  <c r="J22" i="5"/>
  <c r="K22" s="1"/>
  <c r="J23" s="1"/>
  <c r="K23" s="1"/>
  <c r="J24" l="1"/>
  <c r="K24" s="1"/>
  <c r="J25" l="1"/>
  <c r="K25" l="1"/>
  <c r="K26" s="1"/>
  <c r="J27" s="1"/>
  <c r="K27" s="1"/>
  <c r="J28" s="1"/>
  <c r="K28" s="1"/>
  <c r="J29" s="1"/>
  <c r="K29" s="1"/>
  <c r="J30" s="1"/>
  <c r="K30" s="1"/>
  <c r="J31" s="1"/>
  <c r="T9" i="6"/>
  <c r="J32" i="5"/>
  <c r="K31"/>
  <c r="K32" l="1"/>
  <c r="K33" s="1"/>
  <c r="J34" s="1"/>
  <c r="K34" s="1"/>
  <c r="J35" s="1"/>
  <c r="K35" s="1"/>
  <c r="J36" s="1"/>
  <c r="K36" s="1"/>
  <c r="T10" i="6"/>
  <c r="J37" i="5"/>
  <c r="K37" s="1"/>
  <c r="J38" s="1"/>
  <c r="J39" l="1"/>
  <c r="K39" s="1"/>
  <c r="K38"/>
  <c r="J40" l="1"/>
  <c r="K40" l="1"/>
  <c r="K41" s="1"/>
  <c r="J42" s="1"/>
  <c r="K42" s="1"/>
  <c r="J43" s="1"/>
  <c r="T11" i="6"/>
  <c r="J44" i="5"/>
  <c r="K44" s="1"/>
  <c r="J45" s="1"/>
  <c r="K43"/>
  <c r="J46" l="1"/>
  <c r="K45"/>
  <c r="J47" l="1"/>
  <c r="K47" s="1"/>
  <c r="J48" s="1"/>
  <c r="K46"/>
  <c r="K48" l="1"/>
  <c r="K49" s="1"/>
  <c r="J50" s="1"/>
  <c r="K50" s="1"/>
  <c r="J51" s="1"/>
  <c r="K51" s="1"/>
  <c r="J52" s="1"/>
  <c r="K52" s="1"/>
  <c r="J53" s="1"/>
  <c r="K53" s="1"/>
  <c r="T12" i="6"/>
  <c r="J54" i="5"/>
  <c r="K54" l="1"/>
  <c r="T13" i="6"/>
  <c r="K56" i="5"/>
  <c r="K55"/>
  <c r="K57" l="1"/>
  <c r="J58" l="1"/>
  <c r="J59" l="1"/>
  <c r="K59" s="1"/>
  <c r="J60" s="1"/>
  <c r="K58"/>
  <c r="K60" l="1"/>
  <c r="J61"/>
  <c r="K61" l="1"/>
  <c r="K62" s="1"/>
  <c r="J63" s="1"/>
  <c r="K63" s="1"/>
  <c r="J64" s="1"/>
  <c r="K64" s="1"/>
  <c r="J65" s="1"/>
  <c r="K65" s="1"/>
  <c r="J66" s="1"/>
  <c r="K66" s="1"/>
  <c r="J67" s="1"/>
  <c r="K67" s="1"/>
  <c r="J68" s="1"/>
  <c r="T15" i="6"/>
  <c r="K69" i="5"/>
  <c r="J70" s="1"/>
  <c r="K70" s="1"/>
  <c r="J71" s="1"/>
  <c r="K71" s="1"/>
  <c r="J72" s="1"/>
  <c r="K72" s="1"/>
  <c r="J73" s="1"/>
  <c r="K73" s="1"/>
  <c r="J74" s="1"/>
  <c r="K74" l="1"/>
  <c r="K75" s="1"/>
  <c r="J76" s="1"/>
  <c r="K76" s="1"/>
  <c r="J77" s="1"/>
  <c r="K77" s="1"/>
  <c r="J78" s="1"/>
  <c r="K78" s="1"/>
  <c r="J79" s="1"/>
  <c r="K79" s="1"/>
  <c r="J80" s="1"/>
  <c r="K80" s="1"/>
  <c r="T17" i="6"/>
  <c r="K68" i="5"/>
  <c r="T16" i="6"/>
  <c r="J81" i="5"/>
  <c r="K81" s="1"/>
  <c r="J82" l="1"/>
  <c r="K82" s="1"/>
  <c r="J83" l="1"/>
  <c r="K83" s="1"/>
  <c r="J84" l="1"/>
  <c r="K84" l="1"/>
  <c r="T18" i="6"/>
  <c r="K85" i="5"/>
  <c r="J86" s="1"/>
  <c r="K86" s="1"/>
  <c r="J87" s="1"/>
  <c r="K87" s="1"/>
  <c r="J88" s="1"/>
  <c r="K88" s="1"/>
  <c r="J89" s="1"/>
  <c r="K89" s="1"/>
  <c r="J90" s="1"/>
  <c r="K90" l="1"/>
  <c r="T19" i="6"/>
</calcChain>
</file>

<file path=xl/sharedStrings.xml><?xml version="1.0" encoding="utf-8"?>
<sst xmlns="http://schemas.openxmlformats.org/spreadsheetml/2006/main" count="159" uniqueCount="50">
  <si>
    <t>ACHAT COMPTANT</t>
  </si>
  <si>
    <t>VENTE COMPTANT</t>
  </si>
  <si>
    <t>Date</t>
  </si>
  <si>
    <t>Libellé</t>
  </si>
  <si>
    <t>Quantité</t>
  </si>
  <si>
    <t>Solde</t>
  </si>
  <si>
    <t>PRU</t>
  </si>
  <si>
    <t>Net Client</t>
  </si>
  <si>
    <t>Compte</t>
  </si>
  <si>
    <t>00050217438</t>
  </si>
  <si>
    <t>Solde report</t>
  </si>
  <si>
    <t>Calcul PRU  LVMH MOET VUITTON FR0000121014</t>
  </si>
  <si>
    <t>date</t>
  </si>
  <si>
    <t>quantité</t>
  </si>
  <si>
    <t>cours</t>
  </si>
  <si>
    <t>Total  achat (cours)</t>
  </si>
  <si>
    <t>frais</t>
  </si>
  <si>
    <t>prix de revient moyen</t>
  </si>
  <si>
    <t>cumul qté</t>
  </si>
  <si>
    <t>malgré la vente</t>
  </si>
  <si>
    <t>recalcul 2 à 66.61</t>
  </si>
  <si>
    <t>plus 1 à 92.21</t>
  </si>
  <si>
    <t>revente non prise dans</t>
  </si>
  <si>
    <t>le calcul</t>
  </si>
  <si>
    <t>ACTION</t>
  </si>
  <si>
    <t>LVMH MOET VUITTON</t>
  </si>
  <si>
    <t>prix comptable (cours + frais)</t>
  </si>
  <si>
    <t>cours + frais</t>
  </si>
  <si>
    <t>prix de revient</t>
  </si>
  <si>
    <t>AIR FRANCE-KLM</t>
  </si>
  <si>
    <t>ARCELOR MITTAL</t>
  </si>
  <si>
    <t>total au prix revient</t>
  </si>
  <si>
    <t>achat (cours)</t>
  </si>
  <si>
    <t>vente (cours)</t>
  </si>
  <si>
    <t>ST MICROELECTRONICS</t>
  </si>
  <si>
    <t>SOCIETE GENERALE</t>
  </si>
  <si>
    <t>ESSILOR INTL</t>
  </si>
  <si>
    <t>OREAL</t>
  </si>
  <si>
    <t>DEXIA</t>
  </si>
  <si>
    <t>VIVENDI</t>
  </si>
  <si>
    <t>PERNOD RICARD</t>
  </si>
  <si>
    <t>CARREFOUR</t>
  </si>
  <si>
    <t>AXA</t>
  </si>
  <si>
    <t>CAP GEMINI</t>
  </si>
  <si>
    <t>VINCI</t>
  </si>
  <si>
    <t>PPR</t>
  </si>
  <si>
    <t>achat</t>
  </si>
  <si>
    <t>vente</t>
  </si>
  <si>
    <t>Prix de revient</t>
  </si>
  <si>
    <t>portefeuille selon prix de revient</t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</si>
</sst>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#,##0.000"/>
    <numFmt numFmtId="166" formatCode="#,##0.000\ &quot;€&quot;"/>
    <numFmt numFmtId="167" formatCode="dd/mm/yy;@"/>
    <numFmt numFmtId="168" formatCode="#,##0_ ;[Red]\-#,##0\ "/>
  </numFmts>
  <fonts count="6">
    <font>
      <sz val="10"/>
      <name val="Arial"/>
    </font>
    <font>
      <sz val="11"/>
      <color theme="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50">
    <xf numFmtId="0" fontId="0" fillId="0" borderId="0" xfId="0"/>
    <xf numFmtId="14" fontId="0" fillId="0" borderId="0" xfId="0" applyNumberFormat="1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166" fontId="0" fillId="0" borderId="0" xfId="0" applyNumberFormat="1"/>
    <xf numFmtId="166" fontId="0" fillId="2" borderId="0" xfId="0" applyNumberFormat="1" applyFill="1"/>
    <xf numFmtId="2" fontId="0" fillId="0" borderId="0" xfId="0" applyNumberFormat="1" applyAlignment="1">
      <alignment horizontal="center"/>
    </xf>
    <xf numFmtId="167" fontId="0" fillId="3" borderId="1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right" vertical="center"/>
    </xf>
    <xf numFmtId="164" fontId="0" fillId="3" borderId="4" xfId="0" applyNumberFormat="1" applyFill="1" applyBorder="1" applyAlignment="1">
      <alignment horizontal="right" vertical="center"/>
    </xf>
    <xf numFmtId="164" fontId="0" fillId="3" borderId="5" xfId="0" applyNumberFormat="1" applyFill="1" applyBorder="1" applyAlignment="1">
      <alignment horizontal="right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64" fontId="3" fillId="5" borderId="0" xfId="0" applyNumberFormat="1" applyFont="1" applyFill="1"/>
    <xf numFmtId="0" fontId="0" fillId="5" borderId="2" xfId="0" applyFill="1" applyBorder="1" applyAlignment="1">
      <alignment horizontal="center" vertical="center"/>
    </xf>
    <xf numFmtId="0" fontId="0" fillId="5" borderId="0" xfId="0" applyFill="1"/>
    <xf numFmtId="0" fontId="0" fillId="4" borderId="0" xfId="0" applyFill="1"/>
    <xf numFmtId="0" fontId="0" fillId="3" borderId="7" xfId="0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right" vertical="center"/>
    </xf>
    <xf numFmtId="0" fontId="4" fillId="3" borderId="8" xfId="0" applyFont="1" applyFill="1" applyBorder="1" applyAlignment="1">
      <alignment horizontal="center" vertical="center" wrapText="1"/>
    </xf>
    <xf numFmtId="164" fontId="0" fillId="3" borderId="7" xfId="0" applyNumberForma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 wrapText="1"/>
    </xf>
    <xf numFmtId="0" fontId="4" fillId="6" borderId="7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5" fillId="0" borderId="0" xfId="1"/>
    <xf numFmtId="167" fontId="5" fillId="3" borderId="1" xfId="1" applyNumberFormat="1" applyFill="1" applyBorder="1" applyAlignment="1">
      <alignment horizontal="center" vertical="center"/>
    </xf>
    <xf numFmtId="0" fontId="4" fillId="6" borderId="9" xfId="1" applyFont="1" applyFill="1" applyBorder="1" applyAlignment="1">
      <alignment horizontal="center" vertical="center" wrapText="1"/>
    </xf>
    <xf numFmtId="0" fontId="5" fillId="3" borderId="2" xfId="1" applyFill="1" applyBorder="1" applyAlignment="1">
      <alignment horizontal="center" vertical="center"/>
    </xf>
    <xf numFmtId="164" fontId="5" fillId="3" borderId="3" xfId="1" applyNumberFormat="1" applyFill="1" applyBorder="1" applyAlignment="1">
      <alignment horizontal="right" vertical="center"/>
    </xf>
    <xf numFmtId="164" fontId="5" fillId="3" borderId="4" xfId="1" applyNumberFormat="1" applyFill="1" applyBorder="1" applyAlignment="1">
      <alignment horizontal="right" vertical="center"/>
    </xf>
    <xf numFmtId="164" fontId="5" fillId="3" borderId="5" xfId="1" applyNumberFormat="1" applyFill="1" applyBorder="1" applyAlignment="1">
      <alignment horizontal="right" vertical="center"/>
    </xf>
    <xf numFmtId="0" fontId="5" fillId="0" borderId="0" xfId="1" applyAlignment="1">
      <alignment horizontal="center" vertical="center"/>
    </xf>
    <xf numFmtId="0" fontId="5" fillId="0" borderId="0" xfId="1" applyAlignment="1">
      <alignment wrapText="1"/>
    </xf>
    <xf numFmtId="168" fontId="5" fillId="7" borderId="7" xfId="1" applyNumberForma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 wrapText="1"/>
    </xf>
    <xf numFmtId="0" fontId="4" fillId="8" borderId="7" xfId="1" applyFont="1" applyFill="1" applyBorder="1" applyAlignment="1">
      <alignment horizontal="center" vertical="center" wrapText="1"/>
    </xf>
    <xf numFmtId="0" fontId="4" fillId="9" borderId="13" xfId="1" applyFont="1" applyFill="1" applyBorder="1" applyAlignment="1">
      <alignment horizontal="center" vertical="center" wrapText="1"/>
    </xf>
    <xf numFmtId="164" fontId="5" fillId="3" borderId="12" xfId="1" applyNumberFormat="1" applyFill="1" applyBorder="1" applyAlignment="1">
      <alignment horizontal="right" vertical="center"/>
    </xf>
    <xf numFmtId="164" fontId="5" fillId="3" borderId="13" xfId="1" applyNumberFormat="1" applyFill="1" applyBorder="1" applyAlignment="1">
      <alignment horizontal="right" vertical="center"/>
    </xf>
    <xf numFmtId="0" fontId="5" fillId="0" borderId="11" xfId="1" applyBorder="1"/>
    <xf numFmtId="164" fontId="5" fillId="3" borderId="0" xfId="1" applyNumberFormat="1" applyFill="1" applyBorder="1" applyAlignment="1">
      <alignment horizontal="right" vertical="center"/>
    </xf>
    <xf numFmtId="164" fontId="1" fillId="6" borderId="14" xfId="2" applyNumberForma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 wrapText="1"/>
    </xf>
    <xf numFmtId="0" fontId="4" fillId="3" borderId="11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9"/>
  <sheetViews>
    <sheetView tabSelected="1" workbookViewId="0">
      <selection activeCell="C23" sqref="C23"/>
    </sheetView>
  </sheetViews>
  <sheetFormatPr baseColWidth="10" defaultRowHeight="12.75"/>
  <cols>
    <col min="2" max="2" width="20.7109375" bestFit="1" customWidth="1"/>
    <col min="3" max="3" width="23.85546875" customWidth="1"/>
    <col min="4" max="4" width="9" customWidth="1"/>
    <col min="5" max="5" width="10.5703125" customWidth="1"/>
    <col min="6" max="6" width="11.28515625" customWidth="1"/>
    <col min="7" max="7" width="9.140625" customWidth="1"/>
    <col min="8" max="8" width="11.42578125" style="2"/>
    <col min="9" max="9" width="22.85546875" customWidth="1"/>
    <col min="10" max="10" width="8.85546875" customWidth="1"/>
    <col min="11" max="11" width="13.28515625" customWidth="1"/>
  </cols>
  <sheetData>
    <row r="1" spans="1:11">
      <c r="C1" s="7" t="s">
        <v>11</v>
      </c>
      <c r="D1" s="6"/>
      <c r="E1" s="7"/>
    </row>
    <row r="3" spans="1:11">
      <c r="A3" t="s">
        <v>8</v>
      </c>
      <c r="B3" t="s">
        <v>2</v>
      </c>
      <c r="C3" t="s">
        <v>3</v>
      </c>
      <c r="D3" t="s">
        <v>4</v>
      </c>
      <c r="E3" t="s">
        <v>5</v>
      </c>
      <c r="F3" t="s">
        <v>7</v>
      </c>
      <c r="H3" s="10" t="s">
        <v>6</v>
      </c>
    </row>
    <row r="4" spans="1:11">
      <c r="A4" s="5" t="s">
        <v>9</v>
      </c>
      <c r="B4" s="1">
        <v>40179</v>
      </c>
      <c r="C4" t="s">
        <v>10</v>
      </c>
      <c r="E4" s="20">
        <v>3</v>
      </c>
      <c r="F4" s="18">
        <f>E4*H4</f>
        <v>199.82999999999998</v>
      </c>
      <c r="G4" s="18"/>
      <c r="H4" s="8">
        <v>66.61</v>
      </c>
      <c r="I4" s="21" t="s">
        <v>19</v>
      </c>
    </row>
    <row r="5" spans="1:11">
      <c r="A5" s="5" t="s">
        <v>9</v>
      </c>
      <c r="B5" s="1">
        <v>40197</v>
      </c>
      <c r="C5" t="s">
        <v>1</v>
      </c>
      <c r="D5">
        <v>1</v>
      </c>
      <c r="E5">
        <v>2</v>
      </c>
      <c r="F5" s="3">
        <v>75.58</v>
      </c>
      <c r="G5" s="3"/>
      <c r="H5" s="8"/>
      <c r="I5" s="21" t="s">
        <v>20</v>
      </c>
      <c r="J5">
        <f>H4*E5</f>
        <v>133.22</v>
      </c>
      <c r="K5" s="3"/>
    </row>
    <row r="6" spans="1:11">
      <c r="A6" s="5" t="s">
        <v>9</v>
      </c>
      <c r="B6" s="1">
        <v>40287</v>
      </c>
      <c r="C6" t="s">
        <v>0</v>
      </c>
      <c r="D6">
        <v>1</v>
      </c>
      <c r="E6">
        <v>3</v>
      </c>
      <c r="F6" s="3">
        <v>92.21</v>
      </c>
      <c r="G6" s="3"/>
      <c r="H6" s="9">
        <f>(E5*H4+F6)/E6</f>
        <v>75.143333333333331</v>
      </c>
      <c r="I6" s="21" t="s">
        <v>21</v>
      </c>
      <c r="J6">
        <f>(F6*D6)+J5</f>
        <v>225.43</v>
      </c>
    </row>
    <row r="7" spans="1:11">
      <c r="A7" s="5" t="s">
        <v>9</v>
      </c>
      <c r="B7" s="1">
        <v>40604</v>
      </c>
      <c r="C7" t="s">
        <v>1</v>
      </c>
      <c r="D7">
        <v>1</v>
      </c>
      <c r="E7">
        <v>2</v>
      </c>
      <c r="F7" s="3">
        <v>107.75</v>
      </c>
      <c r="G7" s="3"/>
      <c r="H7" s="4"/>
      <c r="I7" s="21" t="s">
        <v>22</v>
      </c>
    </row>
    <row r="8" spans="1:11">
      <c r="A8" s="5"/>
      <c r="B8" s="1"/>
      <c r="F8" s="3"/>
      <c r="G8" s="3"/>
      <c r="H8" s="4"/>
      <c r="I8" s="21" t="s">
        <v>23</v>
      </c>
    </row>
    <row r="9" spans="1:11">
      <c r="A9" s="5"/>
      <c r="B9" s="1"/>
      <c r="F9" s="3"/>
      <c r="G9" s="3"/>
      <c r="H9" s="4"/>
    </row>
    <row r="10" spans="1:11" ht="13.5" thickBot="1">
      <c r="A10" s="5"/>
      <c r="C10" s="3"/>
      <c r="D10" s="4"/>
      <c r="E10" s="3"/>
      <c r="H10"/>
    </row>
    <row r="11" spans="1:11" ht="60.75" thickBot="1">
      <c r="A11" s="16" t="s">
        <v>12</v>
      </c>
      <c r="B11" s="17" t="s">
        <v>13</v>
      </c>
      <c r="C11" s="17" t="s">
        <v>14</v>
      </c>
      <c r="D11" s="17" t="s">
        <v>15</v>
      </c>
      <c r="E11" s="17" t="s">
        <v>16</v>
      </c>
      <c r="F11" s="17" t="s">
        <v>26</v>
      </c>
      <c r="G11" s="17"/>
      <c r="H11" s="17" t="s">
        <v>18</v>
      </c>
      <c r="I11" s="17" t="s">
        <v>17</v>
      </c>
      <c r="J11" s="17"/>
    </row>
    <row r="12" spans="1:11" ht="13.5" thickBot="1">
      <c r="A12" s="11">
        <v>39423</v>
      </c>
      <c r="B12" s="12">
        <v>1</v>
      </c>
      <c r="C12" s="13">
        <v>84.71</v>
      </c>
      <c r="D12" s="13">
        <v>84.71</v>
      </c>
      <c r="E12" s="14">
        <v>5.5</v>
      </c>
      <c r="F12" s="14">
        <v>90.21</v>
      </c>
      <c r="G12" s="13">
        <f>F12</f>
        <v>90.21</v>
      </c>
      <c r="H12" s="12">
        <f>B12</f>
        <v>1</v>
      </c>
      <c r="I12" s="14">
        <f t="shared" ref="I12:I17" si="0">(IF(B12&gt;0,(J11+F12)/H12,I11))</f>
        <v>90.21</v>
      </c>
      <c r="J12" s="14">
        <f>I12*H12</f>
        <v>90.21</v>
      </c>
    </row>
    <row r="13" spans="1:11" ht="13.5" thickBot="1">
      <c r="A13" s="11">
        <v>39729</v>
      </c>
      <c r="B13" s="12">
        <v>1</v>
      </c>
      <c r="C13" s="15">
        <v>55.875</v>
      </c>
      <c r="D13" s="13">
        <v>55.875</v>
      </c>
      <c r="E13" s="14">
        <v>5.5</v>
      </c>
      <c r="F13" s="14">
        <v>61.375</v>
      </c>
      <c r="G13" s="13">
        <f>IF(B13&gt;0,(G12+F13),G12)</f>
        <v>151.58499999999998</v>
      </c>
      <c r="H13" s="12">
        <f>H12+B13</f>
        <v>2</v>
      </c>
      <c r="I13" s="14">
        <f>(IF(B13&gt;0,(J12+F13)/H13,I12))</f>
        <v>75.79249999999999</v>
      </c>
      <c r="J13" s="14">
        <f t="shared" ref="J13:J17" si="1">I13*H13</f>
        <v>151.58499999999998</v>
      </c>
    </row>
    <row r="14" spans="1:11" ht="13.5" thickBot="1">
      <c r="A14" s="11">
        <v>39785</v>
      </c>
      <c r="B14" s="12">
        <v>1</v>
      </c>
      <c r="C14" s="15">
        <v>42.73</v>
      </c>
      <c r="D14" s="13">
        <v>42.73</v>
      </c>
      <c r="E14" s="14">
        <v>5.5</v>
      </c>
      <c r="F14" s="14">
        <v>48.23</v>
      </c>
      <c r="G14" s="13">
        <f t="shared" ref="G14:G17" si="2">IF(B14&gt;0,(G13+F14),G13)</f>
        <v>199.81499999999997</v>
      </c>
      <c r="H14" s="19">
        <f>H13+B14</f>
        <v>3</v>
      </c>
      <c r="I14" s="14">
        <f t="shared" si="0"/>
        <v>66.60499999999999</v>
      </c>
      <c r="J14" s="14">
        <f t="shared" si="1"/>
        <v>199.81499999999997</v>
      </c>
    </row>
    <row r="15" spans="1:11" ht="13.5" thickBot="1">
      <c r="A15" s="11">
        <v>40197</v>
      </c>
      <c r="B15" s="12">
        <v>-1</v>
      </c>
      <c r="C15" s="15">
        <v>81.08</v>
      </c>
      <c r="D15" s="13">
        <v>-81.08</v>
      </c>
      <c r="E15" s="14">
        <v>5.5</v>
      </c>
      <c r="F15" s="14">
        <v>-75.58</v>
      </c>
      <c r="G15" s="13">
        <f t="shared" si="2"/>
        <v>199.81499999999997</v>
      </c>
      <c r="H15" s="12">
        <f>H14+B15</f>
        <v>2</v>
      </c>
      <c r="I15" s="14">
        <f t="shared" si="0"/>
        <v>66.60499999999999</v>
      </c>
      <c r="J15" s="14">
        <f t="shared" si="1"/>
        <v>133.20999999999998</v>
      </c>
    </row>
    <row r="16" spans="1:11" ht="13.5" thickBot="1">
      <c r="A16" s="11">
        <v>40287</v>
      </c>
      <c r="B16" s="12">
        <v>1</v>
      </c>
      <c r="C16" s="15">
        <v>86.71</v>
      </c>
      <c r="D16" s="13">
        <v>86.71</v>
      </c>
      <c r="E16" s="14">
        <v>5.5</v>
      </c>
      <c r="F16" s="14">
        <v>92.21</v>
      </c>
      <c r="G16" s="13">
        <f t="shared" si="2"/>
        <v>292.02499999999998</v>
      </c>
      <c r="H16" s="12">
        <f>H15+B16</f>
        <v>3</v>
      </c>
      <c r="I16" s="14">
        <f t="shared" si="0"/>
        <v>75.139999999999986</v>
      </c>
      <c r="J16" s="14">
        <f t="shared" si="1"/>
        <v>225.41999999999996</v>
      </c>
    </row>
    <row r="17" spans="1:10" ht="13.5" thickBot="1">
      <c r="A17" s="11">
        <v>40604</v>
      </c>
      <c r="B17" s="12">
        <v>-1</v>
      </c>
      <c r="C17" s="15">
        <v>113.25</v>
      </c>
      <c r="D17" s="13">
        <v>-113.25</v>
      </c>
      <c r="E17" s="14">
        <v>5.5</v>
      </c>
      <c r="F17" s="14">
        <v>-107.75</v>
      </c>
      <c r="G17" s="13">
        <f t="shared" si="2"/>
        <v>292.02499999999998</v>
      </c>
      <c r="H17" s="12">
        <f>H16+B17</f>
        <v>2</v>
      </c>
      <c r="I17" s="14">
        <f t="shared" si="0"/>
        <v>75.139999999999986</v>
      </c>
      <c r="J17" s="14">
        <f t="shared" si="1"/>
        <v>150.27999999999997</v>
      </c>
    </row>
    <row r="18" spans="1:10">
      <c r="D18" s="2"/>
      <c r="E18" s="2"/>
      <c r="H18"/>
    </row>
    <row r="19" spans="1:10">
      <c r="D19" s="2"/>
      <c r="E19" s="2"/>
      <c r="H19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92"/>
  <sheetViews>
    <sheetView zoomScale="80" zoomScaleNormal="80" workbookViewId="0">
      <pane ySplit="1" topLeftCell="A2" activePane="bottomLeft" state="frozenSplit"/>
      <selection pane="bottomLeft" activeCell="P5" sqref="P5"/>
    </sheetView>
  </sheetViews>
  <sheetFormatPr baseColWidth="10" defaultRowHeight="15"/>
  <cols>
    <col min="1" max="1" width="13.42578125" style="36" customWidth="1"/>
    <col min="2" max="2" width="22.140625" style="29" bestFit="1" customWidth="1"/>
    <col min="3" max="3" width="8.5703125" style="29" bestFit="1" customWidth="1"/>
    <col min="4" max="4" width="8.7109375" style="36" bestFit="1" customWidth="1"/>
    <col min="5" max="5" width="12.7109375" style="36" bestFit="1" customWidth="1"/>
    <col min="6" max="6" width="12.85546875" style="36" bestFit="1" customWidth="1"/>
    <col min="7" max="7" width="6.5703125" style="36" bestFit="1" customWidth="1"/>
    <col min="8" max="8" width="12" style="36" bestFit="1" customWidth="1"/>
    <col min="9" max="9" width="12" style="36" customWidth="1"/>
    <col min="10" max="10" width="14.140625" style="29" bestFit="1" customWidth="1"/>
    <col min="11" max="11" width="18.85546875" style="29" bestFit="1" customWidth="1"/>
    <col min="12" max="16384" width="11.42578125" style="29"/>
  </cols>
  <sheetData>
    <row r="1" spans="1:11" ht="47.25" customHeight="1" thickBot="1">
      <c r="A1" s="26" t="s">
        <v>12</v>
      </c>
      <c r="B1" s="27" t="s">
        <v>24</v>
      </c>
      <c r="C1" s="28" t="s">
        <v>13</v>
      </c>
      <c r="D1" s="28" t="s">
        <v>14</v>
      </c>
      <c r="E1" s="28" t="s">
        <v>32</v>
      </c>
      <c r="F1" s="28" t="s">
        <v>33</v>
      </c>
      <c r="G1" s="28" t="s">
        <v>16</v>
      </c>
      <c r="H1" s="28" t="s">
        <v>27</v>
      </c>
      <c r="I1" s="17" t="s">
        <v>18</v>
      </c>
      <c r="J1" s="17" t="s">
        <v>28</v>
      </c>
      <c r="K1" s="24" t="s">
        <v>31</v>
      </c>
    </row>
    <row r="2" spans="1:11" ht="23.25" customHeight="1" thickBot="1">
      <c r="A2" s="30">
        <v>39423</v>
      </c>
      <c r="B2" s="31" t="s">
        <v>29</v>
      </c>
      <c r="C2" s="32">
        <v>1</v>
      </c>
      <c r="D2" s="33">
        <v>24.74</v>
      </c>
      <c r="E2" s="33">
        <f t="shared" ref="E2:E33" si="0">IF(C2&gt;0,(D2*C2),0)</f>
        <v>24.74</v>
      </c>
      <c r="F2" s="33">
        <f t="shared" ref="F2:F33" si="1">IF(C2&lt;0,(D2*C2),0)</f>
        <v>0</v>
      </c>
      <c r="G2" s="34">
        <f t="shared" ref="G2:G33" si="2">IF((C2&gt;0),5.5,5.5)</f>
        <v>5.5</v>
      </c>
      <c r="H2" s="34">
        <f t="shared" ref="H2:H33" si="3">E2+F2+G2</f>
        <v>30.24</v>
      </c>
      <c r="I2" s="22">
        <f>C2</f>
        <v>1</v>
      </c>
      <c r="J2" s="23">
        <f>IF(C2&gt;0,(H2)/I2,0)</f>
        <v>30.24</v>
      </c>
      <c r="K2" s="25">
        <f t="shared" ref="K2:K33" si="4">I2*J2</f>
        <v>30.24</v>
      </c>
    </row>
    <row r="3" spans="1:11" ht="23.25" customHeight="1" thickBot="1">
      <c r="A3" s="30">
        <v>39714</v>
      </c>
      <c r="B3" s="27" t="s">
        <v>29</v>
      </c>
      <c r="C3" s="32">
        <v>1</v>
      </c>
      <c r="D3" s="33">
        <v>15.28</v>
      </c>
      <c r="E3" s="33">
        <f t="shared" si="0"/>
        <v>15.28</v>
      </c>
      <c r="F3" s="33">
        <f t="shared" si="1"/>
        <v>0</v>
      </c>
      <c r="G3" s="34">
        <f t="shared" si="2"/>
        <v>5.5</v>
      </c>
      <c r="H3" s="34">
        <f t="shared" si="3"/>
        <v>20.78</v>
      </c>
      <c r="I3" s="12">
        <f>I2+C3</f>
        <v>2</v>
      </c>
      <c r="J3" s="23">
        <f>IF(C3&gt;0,(K2+H3)/I3,J2)</f>
        <v>25.509999999999998</v>
      </c>
      <c r="K3" s="25">
        <f t="shared" si="4"/>
        <v>51.019999999999996</v>
      </c>
    </row>
    <row r="4" spans="1:11" ht="23.25" customHeight="1" thickBot="1">
      <c r="A4" s="30">
        <v>40207</v>
      </c>
      <c r="B4" s="27" t="s">
        <v>29</v>
      </c>
      <c r="C4" s="32">
        <v>1</v>
      </c>
      <c r="D4" s="33">
        <v>11.82</v>
      </c>
      <c r="E4" s="33">
        <f t="shared" si="0"/>
        <v>11.82</v>
      </c>
      <c r="F4" s="33">
        <f t="shared" si="1"/>
        <v>0</v>
      </c>
      <c r="G4" s="34">
        <f t="shared" si="2"/>
        <v>5.5</v>
      </c>
      <c r="H4" s="34">
        <f t="shared" si="3"/>
        <v>17.32</v>
      </c>
      <c r="I4" s="12">
        <f>I3+C4</f>
        <v>3</v>
      </c>
      <c r="J4" s="23">
        <f>IF(C4&gt;0,(K3+H4)/I4,J3)</f>
        <v>22.78</v>
      </c>
      <c r="K4" s="25">
        <f t="shared" si="4"/>
        <v>68.34</v>
      </c>
    </row>
    <row r="5" spans="1:11" ht="23.25" customHeight="1" thickBot="1">
      <c r="A5" s="30">
        <v>40287</v>
      </c>
      <c r="B5" s="27" t="s">
        <v>29</v>
      </c>
      <c r="C5" s="32">
        <v>-3</v>
      </c>
      <c r="D5" s="33">
        <v>11.98</v>
      </c>
      <c r="E5" s="33">
        <f t="shared" si="0"/>
        <v>0</v>
      </c>
      <c r="F5" s="33">
        <f t="shared" si="1"/>
        <v>-35.94</v>
      </c>
      <c r="G5" s="34">
        <f t="shared" si="2"/>
        <v>5.5</v>
      </c>
      <c r="H5" s="34">
        <f t="shared" si="3"/>
        <v>-30.439999999999998</v>
      </c>
      <c r="I5" s="12">
        <f>I4+C5</f>
        <v>0</v>
      </c>
      <c r="J5" s="23">
        <f>IF(C5&gt;0,(K4+H5)/I5,J4)</f>
        <v>22.78</v>
      </c>
      <c r="K5" s="25">
        <f t="shared" si="4"/>
        <v>0</v>
      </c>
    </row>
    <row r="6" spans="1:11" ht="23.25" customHeight="1" thickBot="1">
      <c r="A6" s="30">
        <v>39426</v>
      </c>
      <c r="B6" s="27" t="s">
        <v>30</v>
      </c>
      <c r="C6" s="32">
        <v>1</v>
      </c>
      <c r="D6" s="33">
        <v>50.4</v>
      </c>
      <c r="E6" s="33">
        <f t="shared" si="0"/>
        <v>50.4</v>
      </c>
      <c r="F6" s="33">
        <f t="shared" si="1"/>
        <v>0</v>
      </c>
      <c r="G6" s="34">
        <f t="shared" si="2"/>
        <v>5.5</v>
      </c>
      <c r="H6" s="34">
        <f t="shared" si="3"/>
        <v>55.9</v>
      </c>
      <c r="I6" s="12">
        <f>C6</f>
        <v>1</v>
      </c>
      <c r="J6" s="23">
        <f>IF(C6&gt;0,(H6)/I6,0)</f>
        <v>55.9</v>
      </c>
      <c r="K6" s="25">
        <f t="shared" si="4"/>
        <v>55.9</v>
      </c>
    </row>
    <row r="7" spans="1:11" ht="23.25" customHeight="1" thickBot="1">
      <c r="A7" s="30">
        <v>39527</v>
      </c>
      <c r="B7" s="27" t="s">
        <v>30</v>
      </c>
      <c r="C7" s="32">
        <v>1</v>
      </c>
      <c r="D7" s="35">
        <v>47.4</v>
      </c>
      <c r="E7" s="33">
        <f t="shared" si="0"/>
        <v>47.4</v>
      </c>
      <c r="F7" s="33">
        <f t="shared" si="1"/>
        <v>0</v>
      </c>
      <c r="G7" s="34">
        <f t="shared" si="2"/>
        <v>5.5</v>
      </c>
      <c r="H7" s="34">
        <f t="shared" si="3"/>
        <v>52.9</v>
      </c>
      <c r="I7" s="12">
        <f t="shared" ref="I7:I68" si="5">I6+C7</f>
        <v>2</v>
      </c>
      <c r="J7" s="23">
        <f>IF(C7&gt;0,(K6+H7)/I7,J6)</f>
        <v>54.4</v>
      </c>
      <c r="K7" s="25">
        <f t="shared" si="4"/>
        <v>108.8</v>
      </c>
    </row>
    <row r="8" spans="1:11" ht="23.25" customHeight="1" thickBot="1">
      <c r="A8" s="30">
        <v>40207</v>
      </c>
      <c r="B8" s="27" t="s">
        <v>30</v>
      </c>
      <c r="C8" s="32">
        <v>1</v>
      </c>
      <c r="D8" s="35">
        <v>28.39</v>
      </c>
      <c r="E8" s="33">
        <f t="shared" si="0"/>
        <v>28.39</v>
      </c>
      <c r="F8" s="33">
        <f t="shared" si="1"/>
        <v>0</v>
      </c>
      <c r="G8" s="34">
        <f t="shared" si="2"/>
        <v>5.5</v>
      </c>
      <c r="H8" s="34">
        <f t="shared" si="3"/>
        <v>33.89</v>
      </c>
      <c r="I8" s="12">
        <f t="shared" si="5"/>
        <v>3</v>
      </c>
      <c r="J8" s="23">
        <f>IF(C8&gt;0,(K7+H8)/I8,J7)</f>
        <v>47.563333333333333</v>
      </c>
      <c r="K8" s="25">
        <f t="shared" si="4"/>
        <v>142.69</v>
      </c>
    </row>
    <row r="9" spans="1:11" ht="23.25" customHeight="1" thickBot="1">
      <c r="A9" s="30">
        <v>40504</v>
      </c>
      <c r="B9" s="27" t="s">
        <v>30</v>
      </c>
      <c r="C9" s="32">
        <v>-3</v>
      </c>
      <c r="D9" s="35">
        <v>24.48</v>
      </c>
      <c r="E9" s="33">
        <f t="shared" si="0"/>
        <v>0</v>
      </c>
      <c r="F9" s="33">
        <f t="shared" si="1"/>
        <v>-73.44</v>
      </c>
      <c r="G9" s="34">
        <f t="shared" si="2"/>
        <v>5.5</v>
      </c>
      <c r="H9" s="34">
        <f t="shared" si="3"/>
        <v>-67.94</v>
      </c>
      <c r="I9" s="12">
        <f t="shared" si="5"/>
        <v>0</v>
      </c>
      <c r="J9" s="23">
        <f>IF(C9&gt;0,(K8+H9)/I9,J8)</f>
        <v>47.563333333333333</v>
      </c>
      <c r="K9" s="25">
        <f t="shared" si="4"/>
        <v>0</v>
      </c>
    </row>
    <row r="10" spans="1:11" ht="23.25" customHeight="1" thickBot="1">
      <c r="A10" s="30">
        <v>39426</v>
      </c>
      <c r="B10" s="27" t="s">
        <v>42</v>
      </c>
      <c r="C10" s="32">
        <v>1</v>
      </c>
      <c r="D10" s="35">
        <v>28.71</v>
      </c>
      <c r="E10" s="33">
        <f t="shared" si="0"/>
        <v>28.71</v>
      </c>
      <c r="F10" s="33">
        <f t="shared" si="1"/>
        <v>0</v>
      </c>
      <c r="G10" s="34">
        <f t="shared" si="2"/>
        <v>5.5</v>
      </c>
      <c r="H10" s="34">
        <f t="shared" si="3"/>
        <v>34.21</v>
      </c>
      <c r="I10" s="12">
        <f>C10</f>
        <v>1</v>
      </c>
      <c r="J10" s="23">
        <f>IF(C10&gt;0,(H10)/I10,0)</f>
        <v>34.21</v>
      </c>
      <c r="K10" s="25">
        <f t="shared" si="4"/>
        <v>34.21</v>
      </c>
    </row>
    <row r="11" spans="1:11" ht="23.25" customHeight="1" thickBot="1">
      <c r="A11" s="30">
        <v>39714</v>
      </c>
      <c r="B11" s="27" t="s">
        <v>42</v>
      </c>
      <c r="C11" s="32">
        <v>1</v>
      </c>
      <c r="D11" s="35">
        <v>22.5</v>
      </c>
      <c r="E11" s="33">
        <f t="shared" si="0"/>
        <v>22.5</v>
      </c>
      <c r="F11" s="33">
        <f t="shared" si="1"/>
        <v>0</v>
      </c>
      <c r="G11" s="34">
        <f t="shared" si="2"/>
        <v>5.5</v>
      </c>
      <c r="H11" s="34">
        <f t="shared" si="3"/>
        <v>28</v>
      </c>
      <c r="I11" s="12">
        <f t="shared" si="5"/>
        <v>2</v>
      </c>
      <c r="J11" s="23">
        <f t="shared" ref="J11:J16" si="6">IF(C11&gt;0,(K10+H11)/I11,J10)</f>
        <v>31.105</v>
      </c>
      <c r="K11" s="25">
        <f t="shared" si="4"/>
        <v>62.21</v>
      </c>
    </row>
    <row r="12" spans="1:11" ht="23.25" customHeight="1" thickBot="1">
      <c r="A12" s="30">
        <v>40297</v>
      </c>
      <c r="B12" s="27" t="s">
        <v>42</v>
      </c>
      <c r="C12" s="32">
        <v>2</v>
      </c>
      <c r="D12" s="35">
        <v>15.18</v>
      </c>
      <c r="E12" s="33">
        <f t="shared" si="0"/>
        <v>30.36</v>
      </c>
      <c r="F12" s="33">
        <f t="shared" si="1"/>
        <v>0</v>
      </c>
      <c r="G12" s="34">
        <f t="shared" si="2"/>
        <v>5.5</v>
      </c>
      <c r="H12" s="34">
        <f t="shared" si="3"/>
        <v>35.86</v>
      </c>
      <c r="I12" s="12">
        <f t="shared" si="5"/>
        <v>4</v>
      </c>
      <c r="J12" s="23">
        <f t="shared" si="6"/>
        <v>24.517499999999998</v>
      </c>
      <c r="K12" s="25">
        <f t="shared" si="4"/>
        <v>98.07</v>
      </c>
    </row>
    <row r="13" spans="1:11" ht="23.25" customHeight="1" thickBot="1">
      <c r="A13" s="30">
        <v>40399</v>
      </c>
      <c r="B13" s="27" t="s">
        <v>42</v>
      </c>
      <c r="C13" s="32">
        <v>1</v>
      </c>
      <c r="D13" s="35">
        <v>14.52</v>
      </c>
      <c r="E13" s="33">
        <f t="shared" si="0"/>
        <v>14.52</v>
      </c>
      <c r="F13" s="33">
        <f t="shared" si="1"/>
        <v>0</v>
      </c>
      <c r="G13" s="34">
        <f t="shared" si="2"/>
        <v>5.5</v>
      </c>
      <c r="H13" s="34">
        <f t="shared" si="3"/>
        <v>20.02</v>
      </c>
      <c r="I13" s="12">
        <f t="shared" si="5"/>
        <v>5</v>
      </c>
      <c r="J13" s="23">
        <f t="shared" si="6"/>
        <v>23.617999999999999</v>
      </c>
      <c r="K13" s="25">
        <f t="shared" si="4"/>
        <v>118.08999999999999</v>
      </c>
    </row>
    <row r="14" spans="1:11" ht="23.25" customHeight="1" thickBot="1">
      <c r="A14" s="30">
        <v>40486</v>
      </c>
      <c r="B14" s="27" t="s">
        <v>42</v>
      </c>
      <c r="C14" s="32">
        <v>2</v>
      </c>
      <c r="D14" s="35">
        <v>13.42</v>
      </c>
      <c r="E14" s="33">
        <f t="shared" si="0"/>
        <v>26.84</v>
      </c>
      <c r="F14" s="33">
        <f t="shared" si="1"/>
        <v>0</v>
      </c>
      <c r="G14" s="34">
        <f t="shared" si="2"/>
        <v>5.5</v>
      </c>
      <c r="H14" s="34">
        <f t="shared" si="3"/>
        <v>32.340000000000003</v>
      </c>
      <c r="I14" s="12">
        <f t="shared" si="5"/>
        <v>7</v>
      </c>
      <c r="J14" s="23">
        <f t="shared" si="6"/>
        <v>21.490000000000002</v>
      </c>
      <c r="K14" s="25">
        <f t="shared" si="4"/>
        <v>150.43</v>
      </c>
    </row>
    <row r="15" spans="1:11" ht="23.25" customHeight="1" thickBot="1">
      <c r="A15" s="30">
        <v>40604</v>
      </c>
      <c r="B15" s="27" t="s">
        <v>42</v>
      </c>
      <c r="C15" s="32">
        <v>2</v>
      </c>
      <c r="D15" s="35">
        <v>14.77</v>
      </c>
      <c r="E15" s="33">
        <f t="shared" si="0"/>
        <v>29.54</v>
      </c>
      <c r="F15" s="33">
        <f t="shared" si="1"/>
        <v>0</v>
      </c>
      <c r="G15" s="34">
        <f t="shared" si="2"/>
        <v>5.5</v>
      </c>
      <c r="H15" s="34">
        <f t="shared" si="3"/>
        <v>35.04</v>
      </c>
      <c r="I15" s="12">
        <f t="shared" si="5"/>
        <v>9</v>
      </c>
      <c r="J15" s="23">
        <f t="shared" si="6"/>
        <v>20.607777777777777</v>
      </c>
      <c r="K15" s="25">
        <f t="shared" si="4"/>
        <v>185.47</v>
      </c>
    </row>
    <row r="16" spans="1:11" ht="23.25" customHeight="1" thickBot="1">
      <c r="A16" s="30">
        <v>40770</v>
      </c>
      <c r="B16" s="27" t="s">
        <v>42</v>
      </c>
      <c r="C16" s="32">
        <v>1</v>
      </c>
      <c r="D16" s="35">
        <v>11.22</v>
      </c>
      <c r="E16" s="33">
        <f t="shared" si="0"/>
        <v>11.22</v>
      </c>
      <c r="F16" s="33">
        <f t="shared" si="1"/>
        <v>0</v>
      </c>
      <c r="G16" s="34">
        <f t="shared" si="2"/>
        <v>5.5</v>
      </c>
      <c r="H16" s="34">
        <f t="shared" si="3"/>
        <v>16.72</v>
      </c>
      <c r="I16" s="12">
        <f t="shared" si="5"/>
        <v>10</v>
      </c>
      <c r="J16" s="23">
        <f t="shared" si="6"/>
        <v>20.219000000000001</v>
      </c>
      <c r="K16" s="25">
        <f t="shared" si="4"/>
        <v>202.19</v>
      </c>
    </row>
    <row r="17" spans="1:11" ht="23.25" customHeight="1" thickBot="1">
      <c r="A17" s="30">
        <v>39426</v>
      </c>
      <c r="B17" s="27" t="s">
        <v>43</v>
      </c>
      <c r="C17" s="32">
        <v>1</v>
      </c>
      <c r="D17" s="35">
        <v>39.74</v>
      </c>
      <c r="E17" s="33">
        <f t="shared" si="0"/>
        <v>39.74</v>
      </c>
      <c r="F17" s="33">
        <f t="shared" si="1"/>
        <v>0</v>
      </c>
      <c r="G17" s="34">
        <f t="shared" si="2"/>
        <v>5.5</v>
      </c>
      <c r="H17" s="34">
        <f t="shared" si="3"/>
        <v>45.24</v>
      </c>
      <c r="I17" s="12">
        <f>C17</f>
        <v>1</v>
      </c>
      <c r="J17" s="23">
        <f>IF(C17&gt;0,(H17)/I17,0)</f>
        <v>45.24</v>
      </c>
      <c r="K17" s="25">
        <f t="shared" si="4"/>
        <v>45.24</v>
      </c>
    </row>
    <row r="18" spans="1:11" ht="23.25" customHeight="1" thickBot="1">
      <c r="A18" s="30">
        <v>39660</v>
      </c>
      <c r="B18" s="27" t="s">
        <v>43</v>
      </c>
      <c r="C18" s="32">
        <v>1</v>
      </c>
      <c r="D18" s="35">
        <v>40.520000000000003</v>
      </c>
      <c r="E18" s="33">
        <f t="shared" si="0"/>
        <v>40.520000000000003</v>
      </c>
      <c r="F18" s="33">
        <f t="shared" si="1"/>
        <v>0</v>
      </c>
      <c r="G18" s="34">
        <f t="shared" si="2"/>
        <v>5.5</v>
      </c>
      <c r="H18" s="34">
        <f t="shared" si="3"/>
        <v>46.02</v>
      </c>
      <c r="I18" s="12">
        <f t="shared" si="5"/>
        <v>2</v>
      </c>
      <c r="J18" s="23">
        <f>IF(C18&gt;0,(K17+H18)/I18,J17)</f>
        <v>45.63</v>
      </c>
      <c r="K18" s="25">
        <f t="shared" si="4"/>
        <v>91.26</v>
      </c>
    </row>
    <row r="19" spans="1:11" ht="23.25" customHeight="1" thickBot="1">
      <c r="A19" s="30">
        <v>40774</v>
      </c>
      <c r="B19" s="27" t="s">
        <v>43</v>
      </c>
      <c r="C19" s="32">
        <v>1</v>
      </c>
      <c r="D19" s="35">
        <v>26.59</v>
      </c>
      <c r="E19" s="33">
        <f t="shared" si="0"/>
        <v>26.59</v>
      </c>
      <c r="F19" s="33">
        <f t="shared" si="1"/>
        <v>0</v>
      </c>
      <c r="G19" s="34">
        <f t="shared" si="2"/>
        <v>5.5</v>
      </c>
      <c r="H19" s="34">
        <f t="shared" si="3"/>
        <v>32.090000000000003</v>
      </c>
      <c r="I19" s="12">
        <f t="shared" si="5"/>
        <v>3</v>
      </c>
      <c r="J19" s="23">
        <f>IF(C19&gt;0,(K18+H19)/I19,J18)</f>
        <v>41.116666666666667</v>
      </c>
      <c r="K19" s="25">
        <f t="shared" si="4"/>
        <v>123.35</v>
      </c>
    </row>
    <row r="20" spans="1:11" ht="23.25" customHeight="1" thickBot="1">
      <c r="A20" s="30">
        <v>39426</v>
      </c>
      <c r="B20" s="27" t="s">
        <v>41</v>
      </c>
      <c r="C20" s="32">
        <v>1</v>
      </c>
      <c r="D20" s="35">
        <v>53.03</v>
      </c>
      <c r="E20" s="33">
        <f t="shared" si="0"/>
        <v>53.03</v>
      </c>
      <c r="F20" s="33">
        <f t="shared" si="1"/>
        <v>0</v>
      </c>
      <c r="G20" s="34">
        <f t="shared" si="2"/>
        <v>5.5</v>
      </c>
      <c r="H20" s="34">
        <f t="shared" si="3"/>
        <v>58.53</v>
      </c>
      <c r="I20" s="12">
        <f>C20</f>
        <v>1</v>
      </c>
      <c r="J20" s="23">
        <f>IF(C20&gt;0,(H20)/I20,0)</f>
        <v>58.53</v>
      </c>
      <c r="K20" s="25">
        <f t="shared" si="4"/>
        <v>58.53</v>
      </c>
    </row>
    <row r="21" spans="1:11" ht="23.25" customHeight="1" thickBot="1">
      <c r="A21" s="30">
        <v>39714</v>
      </c>
      <c r="B21" s="27" t="s">
        <v>41</v>
      </c>
      <c r="C21" s="32">
        <v>1</v>
      </c>
      <c r="D21" s="35">
        <v>32.79</v>
      </c>
      <c r="E21" s="33">
        <f t="shared" si="0"/>
        <v>32.79</v>
      </c>
      <c r="F21" s="33">
        <f t="shared" si="1"/>
        <v>0</v>
      </c>
      <c r="G21" s="34">
        <f t="shared" si="2"/>
        <v>5.5</v>
      </c>
      <c r="H21" s="34">
        <f t="shared" si="3"/>
        <v>38.29</v>
      </c>
      <c r="I21" s="12">
        <f t="shared" si="5"/>
        <v>2</v>
      </c>
      <c r="J21" s="23">
        <f>IF(C21&gt;0,(K20+H21)/I21,J20)</f>
        <v>48.41</v>
      </c>
      <c r="K21" s="25">
        <f t="shared" si="4"/>
        <v>96.82</v>
      </c>
    </row>
    <row r="22" spans="1:11" ht="23.25" customHeight="1" thickBot="1">
      <c r="A22" s="30">
        <v>39714</v>
      </c>
      <c r="B22" s="27" t="s">
        <v>41</v>
      </c>
      <c r="C22" s="32">
        <v>1</v>
      </c>
      <c r="D22" s="35">
        <v>32.630000000000003</v>
      </c>
      <c r="E22" s="33">
        <f t="shared" si="0"/>
        <v>32.630000000000003</v>
      </c>
      <c r="F22" s="33">
        <f t="shared" si="1"/>
        <v>0</v>
      </c>
      <c r="G22" s="34">
        <f t="shared" si="2"/>
        <v>5.5</v>
      </c>
      <c r="H22" s="34">
        <f t="shared" si="3"/>
        <v>38.130000000000003</v>
      </c>
      <c r="I22" s="12">
        <f t="shared" si="5"/>
        <v>3</v>
      </c>
      <c r="J22" s="23">
        <f>IF(C22&gt;0,(K21+H22)/I22,J21)</f>
        <v>44.983333333333327</v>
      </c>
      <c r="K22" s="25">
        <f t="shared" si="4"/>
        <v>134.94999999999999</v>
      </c>
    </row>
    <row r="23" spans="1:11" ht="23.25" customHeight="1" thickBot="1">
      <c r="A23" s="30">
        <v>40500</v>
      </c>
      <c r="B23" s="27" t="s">
        <v>41</v>
      </c>
      <c r="C23" s="32">
        <v>1</v>
      </c>
      <c r="D23" s="35">
        <v>38.67</v>
      </c>
      <c r="E23" s="33">
        <f t="shared" si="0"/>
        <v>38.67</v>
      </c>
      <c r="F23" s="33">
        <f t="shared" si="1"/>
        <v>0</v>
      </c>
      <c r="G23" s="34">
        <f t="shared" si="2"/>
        <v>5.5</v>
      </c>
      <c r="H23" s="34">
        <f t="shared" si="3"/>
        <v>44.17</v>
      </c>
      <c r="I23" s="12">
        <f t="shared" si="5"/>
        <v>4</v>
      </c>
      <c r="J23" s="23">
        <f>IF(C23&gt;0,(K22+H23)/I23,J22)</f>
        <v>44.78</v>
      </c>
      <c r="K23" s="25">
        <f t="shared" si="4"/>
        <v>179.12</v>
      </c>
    </row>
    <row r="24" spans="1:11" ht="23.25" customHeight="1" thickBot="1">
      <c r="A24" s="30">
        <v>40604</v>
      </c>
      <c r="B24" s="27" t="s">
        <v>41</v>
      </c>
      <c r="C24" s="32">
        <v>1</v>
      </c>
      <c r="D24" s="35">
        <v>34.99</v>
      </c>
      <c r="E24" s="33">
        <f t="shared" si="0"/>
        <v>34.99</v>
      </c>
      <c r="F24" s="33">
        <f t="shared" si="1"/>
        <v>0</v>
      </c>
      <c r="G24" s="34">
        <f t="shared" si="2"/>
        <v>5.5</v>
      </c>
      <c r="H24" s="34">
        <f t="shared" si="3"/>
        <v>40.49</v>
      </c>
      <c r="I24" s="12">
        <f t="shared" si="5"/>
        <v>5</v>
      </c>
      <c r="J24" s="23">
        <f>IF(C24&gt;0,(K23+H24)/I24,J23)</f>
        <v>43.922000000000004</v>
      </c>
      <c r="K24" s="25">
        <f t="shared" si="4"/>
        <v>219.61</v>
      </c>
    </row>
    <row r="25" spans="1:11" ht="23.25" customHeight="1" thickBot="1">
      <c r="A25" s="30">
        <v>40770</v>
      </c>
      <c r="B25" s="27" t="s">
        <v>41</v>
      </c>
      <c r="C25" s="32">
        <v>1</v>
      </c>
      <c r="D25" s="35">
        <v>19.38</v>
      </c>
      <c r="E25" s="33">
        <f t="shared" si="0"/>
        <v>19.38</v>
      </c>
      <c r="F25" s="33">
        <f t="shared" si="1"/>
        <v>0</v>
      </c>
      <c r="G25" s="34">
        <f t="shared" si="2"/>
        <v>5.5</v>
      </c>
      <c r="H25" s="34">
        <f t="shared" si="3"/>
        <v>24.88</v>
      </c>
      <c r="I25" s="12">
        <f t="shared" si="5"/>
        <v>6</v>
      </c>
      <c r="J25" s="23">
        <f>IF(C25&gt;0,(K24+H25)/I25,J24)</f>
        <v>40.748333333333335</v>
      </c>
      <c r="K25" s="25">
        <f t="shared" si="4"/>
        <v>244.49</v>
      </c>
    </row>
    <row r="26" spans="1:11" ht="23.25" customHeight="1" thickBot="1">
      <c r="A26" s="30">
        <v>39426</v>
      </c>
      <c r="B26" s="27" t="s">
        <v>38</v>
      </c>
      <c r="C26" s="32">
        <v>1</v>
      </c>
      <c r="D26" s="35">
        <v>18.05</v>
      </c>
      <c r="E26" s="33">
        <f t="shared" si="0"/>
        <v>18.05</v>
      </c>
      <c r="F26" s="33">
        <f t="shared" si="1"/>
        <v>0</v>
      </c>
      <c r="G26" s="34">
        <f t="shared" si="2"/>
        <v>5.5</v>
      </c>
      <c r="H26" s="34">
        <f t="shared" si="3"/>
        <v>23.55</v>
      </c>
      <c r="I26" s="12">
        <f>C26</f>
        <v>1</v>
      </c>
      <c r="J26" s="23">
        <f>IF(C26&gt;0,(H26)/I26,0)</f>
        <v>23.55</v>
      </c>
      <c r="K26" s="25">
        <f t="shared" si="4"/>
        <v>23.55</v>
      </c>
    </row>
    <row r="27" spans="1:11" ht="23.25" customHeight="1" thickBot="1">
      <c r="A27" s="30">
        <v>39527</v>
      </c>
      <c r="B27" s="27" t="s">
        <v>38</v>
      </c>
      <c r="C27" s="32">
        <v>1</v>
      </c>
      <c r="D27" s="35">
        <v>16.46</v>
      </c>
      <c r="E27" s="33">
        <f t="shared" si="0"/>
        <v>16.46</v>
      </c>
      <c r="F27" s="33">
        <f t="shared" si="1"/>
        <v>0</v>
      </c>
      <c r="G27" s="34">
        <f t="shared" si="2"/>
        <v>5.5</v>
      </c>
      <c r="H27" s="34">
        <f t="shared" si="3"/>
        <v>21.96</v>
      </c>
      <c r="I27" s="12">
        <f t="shared" si="5"/>
        <v>2</v>
      </c>
      <c r="J27" s="23">
        <f t="shared" ref="J27:J32" si="7">IF(C27&gt;0,(K26+H27)/I27,J26)</f>
        <v>22.755000000000003</v>
      </c>
      <c r="K27" s="25">
        <f t="shared" si="4"/>
        <v>45.510000000000005</v>
      </c>
    </row>
    <row r="28" spans="1:11" ht="23.25" customHeight="1" thickBot="1">
      <c r="A28" s="30">
        <v>39714</v>
      </c>
      <c r="B28" s="27" t="s">
        <v>38</v>
      </c>
      <c r="C28" s="32">
        <v>1</v>
      </c>
      <c r="D28" s="35">
        <v>10.28</v>
      </c>
      <c r="E28" s="33">
        <f t="shared" si="0"/>
        <v>10.28</v>
      </c>
      <c r="F28" s="33">
        <f t="shared" si="1"/>
        <v>0</v>
      </c>
      <c r="G28" s="34">
        <f t="shared" si="2"/>
        <v>5.5</v>
      </c>
      <c r="H28" s="34">
        <f t="shared" si="3"/>
        <v>15.78</v>
      </c>
      <c r="I28" s="12">
        <f t="shared" si="5"/>
        <v>3</v>
      </c>
      <c r="J28" s="23">
        <f t="shared" si="7"/>
        <v>20.430000000000003</v>
      </c>
      <c r="K28" s="25">
        <f t="shared" si="4"/>
        <v>61.290000000000006</v>
      </c>
    </row>
    <row r="29" spans="1:11" ht="23.25" customHeight="1" thickBot="1">
      <c r="A29" s="30">
        <v>39785</v>
      </c>
      <c r="B29" s="27" t="s">
        <v>38</v>
      </c>
      <c r="C29" s="32">
        <v>1</v>
      </c>
      <c r="D29" s="35">
        <v>3.3490000000000002</v>
      </c>
      <c r="E29" s="33">
        <f t="shared" si="0"/>
        <v>3.3490000000000002</v>
      </c>
      <c r="F29" s="33">
        <f t="shared" si="1"/>
        <v>0</v>
      </c>
      <c r="G29" s="34">
        <f t="shared" si="2"/>
        <v>5.5</v>
      </c>
      <c r="H29" s="34">
        <f t="shared" si="3"/>
        <v>8.8490000000000002</v>
      </c>
      <c r="I29" s="12">
        <f t="shared" si="5"/>
        <v>4</v>
      </c>
      <c r="J29" s="23">
        <f t="shared" si="7"/>
        <v>17.534750000000003</v>
      </c>
      <c r="K29" s="25">
        <f t="shared" si="4"/>
        <v>70.13900000000001</v>
      </c>
    </row>
    <row r="30" spans="1:11" ht="23.25" customHeight="1" thickBot="1">
      <c r="A30" s="30">
        <v>39833</v>
      </c>
      <c r="B30" s="27" t="s">
        <v>38</v>
      </c>
      <c r="C30" s="32">
        <v>1</v>
      </c>
      <c r="D30" s="35">
        <v>2.41</v>
      </c>
      <c r="E30" s="33">
        <f t="shared" si="0"/>
        <v>2.41</v>
      </c>
      <c r="F30" s="33">
        <f t="shared" si="1"/>
        <v>0</v>
      </c>
      <c r="G30" s="34">
        <f t="shared" si="2"/>
        <v>5.5</v>
      </c>
      <c r="H30" s="34">
        <f t="shared" si="3"/>
        <v>7.91</v>
      </c>
      <c r="I30" s="12">
        <f t="shared" si="5"/>
        <v>5</v>
      </c>
      <c r="J30" s="23">
        <f t="shared" si="7"/>
        <v>15.609800000000002</v>
      </c>
      <c r="K30" s="25">
        <f t="shared" si="4"/>
        <v>78.049000000000007</v>
      </c>
    </row>
    <row r="31" spans="1:11" ht="23.25" customHeight="1" thickBot="1">
      <c r="A31" s="30">
        <v>40081</v>
      </c>
      <c r="B31" s="27" t="s">
        <v>38</v>
      </c>
      <c r="C31" s="32">
        <v>1</v>
      </c>
      <c r="D31" s="35">
        <v>6.15</v>
      </c>
      <c r="E31" s="33">
        <f t="shared" si="0"/>
        <v>6.15</v>
      </c>
      <c r="F31" s="33">
        <f t="shared" si="1"/>
        <v>0</v>
      </c>
      <c r="G31" s="34">
        <f t="shared" si="2"/>
        <v>5.5</v>
      </c>
      <c r="H31" s="34">
        <f t="shared" si="3"/>
        <v>11.65</v>
      </c>
      <c r="I31" s="12">
        <f t="shared" si="5"/>
        <v>6</v>
      </c>
      <c r="J31" s="23">
        <f t="shared" si="7"/>
        <v>14.949833333333336</v>
      </c>
      <c r="K31" s="25">
        <f t="shared" si="4"/>
        <v>89.699000000000012</v>
      </c>
    </row>
    <row r="32" spans="1:11" ht="23.25" customHeight="1" thickBot="1">
      <c r="A32" s="30">
        <v>40449</v>
      </c>
      <c r="B32" s="27" t="s">
        <v>38</v>
      </c>
      <c r="C32" s="32">
        <v>-6</v>
      </c>
      <c r="D32" s="35">
        <v>3.1589999999999998</v>
      </c>
      <c r="E32" s="33">
        <f t="shared" si="0"/>
        <v>0</v>
      </c>
      <c r="F32" s="33">
        <f t="shared" si="1"/>
        <v>-18.954000000000001</v>
      </c>
      <c r="G32" s="34">
        <f t="shared" si="2"/>
        <v>5.5</v>
      </c>
      <c r="H32" s="34">
        <f t="shared" si="3"/>
        <v>-13.454000000000001</v>
      </c>
      <c r="I32" s="12">
        <f t="shared" si="5"/>
        <v>0</v>
      </c>
      <c r="J32" s="23">
        <f t="shared" si="7"/>
        <v>14.949833333333336</v>
      </c>
      <c r="K32" s="25">
        <f t="shared" si="4"/>
        <v>0</v>
      </c>
    </row>
    <row r="33" spans="1:11" ht="23.25" customHeight="1" thickBot="1">
      <c r="A33" s="30">
        <v>39423</v>
      </c>
      <c r="B33" s="27" t="s">
        <v>36</v>
      </c>
      <c r="C33" s="32">
        <v>1</v>
      </c>
      <c r="D33" s="35">
        <v>43.45</v>
      </c>
      <c r="E33" s="33">
        <f t="shared" si="0"/>
        <v>43.45</v>
      </c>
      <c r="F33" s="33">
        <f t="shared" si="1"/>
        <v>0</v>
      </c>
      <c r="G33" s="34">
        <f t="shared" si="2"/>
        <v>5.5</v>
      </c>
      <c r="H33" s="34">
        <f t="shared" si="3"/>
        <v>48.95</v>
      </c>
      <c r="I33" s="12">
        <f>C33</f>
        <v>1</v>
      </c>
      <c r="J33" s="23">
        <f>IF(C33&gt;0,(H33)/I33,0)</f>
        <v>48.95</v>
      </c>
      <c r="K33" s="25">
        <f t="shared" si="4"/>
        <v>48.95</v>
      </c>
    </row>
    <row r="34" spans="1:11" ht="23.25" customHeight="1" thickBot="1">
      <c r="A34" s="30">
        <v>39717</v>
      </c>
      <c r="B34" s="27" t="s">
        <v>36</v>
      </c>
      <c r="C34" s="32">
        <v>1</v>
      </c>
      <c r="D34" s="35">
        <v>34.85</v>
      </c>
      <c r="E34" s="33">
        <f t="shared" ref="E34:E65" si="8">IF(C34&gt;0,(D34*C34),0)</f>
        <v>34.85</v>
      </c>
      <c r="F34" s="33">
        <f t="shared" ref="F34:F65" si="9">IF(C34&lt;0,(D34*C34),0)</f>
        <v>0</v>
      </c>
      <c r="G34" s="34">
        <f t="shared" ref="G34:G65" si="10">IF((C34&gt;0),5.5,5.5)</f>
        <v>5.5</v>
      </c>
      <c r="H34" s="34">
        <f t="shared" ref="H34:H65" si="11">E34+F34+G34</f>
        <v>40.35</v>
      </c>
      <c r="I34" s="12">
        <f t="shared" si="5"/>
        <v>2</v>
      </c>
      <c r="J34" s="23">
        <f t="shared" ref="J34:J40" si="12">IF(C34&gt;0,(K33+H34)/I34,J33)</f>
        <v>44.650000000000006</v>
      </c>
      <c r="K34" s="25">
        <f t="shared" ref="K34:K65" si="13">I34*J34</f>
        <v>89.300000000000011</v>
      </c>
    </row>
    <row r="35" spans="1:11" ht="23.25" customHeight="1" thickBot="1">
      <c r="A35" s="30">
        <v>40095</v>
      </c>
      <c r="B35" s="27" t="s">
        <v>36</v>
      </c>
      <c r="C35" s="32">
        <v>1</v>
      </c>
      <c r="D35" s="35">
        <v>40.119999999999997</v>
      </c>
      <c r="E35" s="33">
        <f t="shared" si="8"/>
        <v>40.119999999999997</v>
      </c>
      <c r="F35" s="33">
        <f t="shared" si="9"/>
        <v>0</v>
      </c>
      <c r="G35" s="34">
        <f t="shared" si="10"/>
        <v>5.5</v>
      </c>
      <c r="H35" s="34">
        <f t="shared" si="11"/>
        <v>45.62</v>
      </c>
      <c r="I35" s="12">
        <f t="shared" si="5"/>
        <v>3</v>
      </c>
      <c r="J35" s="23">
        <f t="shared" si="12"/>
        <v>44.973333333333336</v>
      </c>
      <c r="K35" s="25">
        <f t="shared" si="13"/>
        <v>134.92000000000002</v>
      </c>
    </row>
    <row r="36" spans="1:11" ht="23.25" customHeight="1" thickBot="1">
      <c r="A36" s="30">
        <v>40207</v>
      </c>
      <c r="B36" s="27" t="s">
        <v>36</v>
      </c>
      <c r="C36" s="32">
        <v>1</v>
      </c>
      <c r="D36" s="35">
        <v>41.91</v>
      </c>
      <c r="E36" s="33">
        <f t="shared" si="8"/>
        <v>41.91</v>
      </c>
      <c r="F36" s="33">
        <f t="shared" si="9"/>
        <v>0</v>
      </c>
      <c r="G36" s="34">
        <f t="shared" si="10"/>
        <v>5.5</v>
      </c>
      <c r="H36" s="34">
        <f t="shared" si="11"/>
        <v>47.41</v>
      </c>
      <c r="I36" s="12">
        <f t="shared" si="5"/>
        <v>4</v>
      </c>
      <c r="J36" s="23">
        <f t="shared" si="12"/>
        <v>45.582500000000003</v>
      </c>
      <c r="K36" s="25">
        <f t="shared" si="13"/>
        <v>182.33</v>
      </c>
    </row>
    <row r="37" spans="1:11" ht="23.25" customHeight="1" thickBot="1">
      <c r="A37" s="30">
        <v>40227</v>
      </c>
      <c r="B37" s="27" t="s">
        <v>36</v>
      </c>
      <c r="C37" s="32">
        <v>1</v>
      </c>
      <c r="D37" s="35">
        <v>44.12</v>
      </c>
      <c r="E37" s="33">
        <f t="shared" si="8"/>
        <v>44.12</v>
      </c>
      <c r="F37" s="33">
        <f t="shared" si="9"/>
        <v>0</v>
      </c>
      <c r="G37" s="34">
        <f t="shared" si="10"/>
        <v>5.5</v>
      </c>
      <c r="H37" s="34">
        <f t="shared" si="11"/>
        <v>49.62</v>
      </c>
      <c r="I37" s="12">
        <f t="shared" si="5"/>
        <v>5</v>
      </c>
      <c r="J37" s="23">
        <f t="shared" si="12"/>
        <v>46.39</v>
      </c>
      <c r="K37" s="25">
        <f t="shared" si="13"/>
        <v>231.95</v>
      </c>
    </row>
    <row r="38" spans="1:11" ht="23.25" customHeight="1" thickBot="1">
      <c r="A38" s="30">
        <v>40382</v>
      </c>
      <c r="B38" s="27" t="s">
        <v>36</v>
      </c>
      <c r="C38" s="32">
        <v>1</v>
      </c>
      <c r="D38" s="35">
        <v>49.12</v>
      </c>
      <c r="E38" s="33">
        <f t="shared" si="8"/>
        <v>49.12</v>
      </c>
      <c r="F38" s="33">
        <f t="shared" si="9"/>
        <v>0</v>
      </c>
      <c r="G38" s="34">
        <f t="shared" si="10"/>
        <v>5.5</v>
      </c>
      <c r="H38" s="34">
        <f t="shared" si="11"/>
        <v>54.62</v>
      </c>
      <c r="I38" s="12">
        <f t="shared" si="5"/>
        <v>6</v>
      </c>
      <c r="J38" s="23">
        <f t="shared" si="12"/>
        <v>47.761666666666663</v>
      </c>
      <c r="K38" s="25">
        <f t="shared" si="13"/>
        <v>286.57</v>
      </c>
    </row>
    <row r="39" spans="1:11" ht="23.25" customHeight="1" thickBot="1">
      <c r="A39" s="30">
        <v>40662</v>
      </c>
      <c r="B39" s="27" t="s">
        <v>36</v>
      </c>
      <c r="C39" s="32">
        <v>-3</v>
      </c>
      <c r="D39" s="35">
        <v>56.47</v>
      </c>
      <c r="E39" s="33">
        <f t="shared" si="8"/>
        <v>0</v>
      </c>
      <c r="F39" s="33">
        <f t="shared" si="9"/>
        <v>-169.41</v>
      </c>
      <c r="G39" s="34">
        <f t="shared" si="10"/>
        <v>5.5</v>
      </c>
      <c r="H39" s="34">
        <f t="shared" si="11"/>
        <v>-163.91</v>
      </c>
      <c r="I39" s="12">
        <f t="shared" si="5"/>
        <v>3</v>
      </c>
      <c r="J39" s="23">
        <f t="shared" si="12"/>
        <v>47.761666666666663</v>
      </c>
      <c r="K39" s="25">
        <f t="shared" si="13"/>
        <v>143.285</v>
      </c>
    </row>
    <row r="40" spans="1:11" ht="23.25" customHeight="1" thickBot="1">
      <c r="A40" s="30">
        <v>40774</v>
      </c>
      <c r="B40" s="27" t="s">
        <v>36</v>
      </c>
      <c r="C40" s="32">
        <v>1</v>
      </c>
      <c r="D40" s="35">
        <v>52.19</v>
      </c>
      <c r="E40" s="33">
        <f t="shared" si="8"/>
        <v>52.19</v>
      </c>
      <c r="F40" s="33">
        <f t="shared" si="9"/>
        <v>0</v>
      </c>
      <c r="G40" s="34">
        <f t="shared" si="10"/>
        <v>5.5</v>
      </c>
      <c r="H40" s="34">
        <f t="shared" si="11"/>
        <v>57.69</v>
      </c>
      <c r="I40" s="12">
        <f t="shared" si="5"/>
        <v>4</v>
      </c>
      <c r="J40" s="23">
        <f t="shared" si="12"/>
        <v>50.243749999999999</v>
      </c>
      <c r="K40" s="25">
        <f t="shared" si="13"/>
        <v>200.97499999999999</v>
      </c>
    </row>
    <row r="41" spans="1:11" ht="23.25" customHeight="1" thickBot="1">
      <c r="A41" s="30">
        <v>39423</v>
      </c>
      <c r="B41" s="27" t="s">
        <v>25</v>
      </c>
      <c r="C41" s="32">
        <v>1</v>
      </c>
      <c r="D41" s="35">
        <v>84.71</v>
      </c>
      <c r="E41" s="33">
        <f t="shared" si="8"/>
        <v>84.71</v>
      </c>
      <c r="F41" s="33">
        <f t="shared" si="9"/>
        <v>0</v>
      </c>
      <c r="G41" s="34">
        <f t="shared" si="10"/>
        <v>5.5</v>
      </c>
      <c r="H41" s="34">
        <f t="shared" si="11"/>
        <v>90.21</v>
      </c>
      <c r="I41" s="12">
        <f>C41</f>
        <v>1</v>
      </c>
      <c r="J41" s="23">
        <f>IF(C41&gt;0,(H41)/I41,0)</f>
        <v>90.21</v>
      </c>
      <c r="K41" s="25">
        <f t="shared" si="13"/>
        <v>90.21</v>
      </c>
    </row>
    <row r="42" spans="1:11" ht="23.25" customHeight="1" thickBot="1">
      <c r="A42" s="30">
        <v>39729</v>
      </c>
      <c r="B42" s="27" t="s">
        <v>25</v>
      </c>
      <c r="C42" s="32">
        <v>1</v>
      </c>
      <c r="D42" s="35">
        <v>55.875</v>
      </c>
      <c r="E42" s="33">
        <f t="shared" si="8"/>
        <v>55.875</v>
      </c>
      <c r="F42" s="33">
        <f t="shared" si="9"/>
        <v>0</v>
      </c>
      <c r="G42" s="34">
        <f t="shared" si="10"/>
        <v>5.5</v>
      </c>
      <c r="H42" s="34">
        <f t="shared" si="11"/>
        <v>61.375</v>
      </c>
      <c r="I42" s="12">
        <f t="shared" si="5"/>
        <v>2</v>
      </c>
      <c r="J42" s="23">
        <f t="shared" ref="J42:J48" si="14">IF(C42&gt;0,(K41+H42)/I42,J41)</f>
        <v>75.79249999999999</v>
      </c>
      <c r="K42" s="25">
        <f t="shared" si="13"/>
        <v>151.58499999999998</v>
      </c>
    </row>
    <row r="43" spans="1:11" ht="23.25" customHeight="1" thickBot="1">
      <c r="A43" s="30">
        <v>39785</v>
      </c>
      <c r="B43" s="27" t="s">
        <v>25</v>
      </c>
      <c r="C43" s="32">
        <v>1</v>
      </c>
      <c r="D43" s="35">
        <v>42.74</v>
      </c>
      <c r="E43" s="33">
        <f t="shared" si="8"/>
        <v>42.74</v>
      </c>
      <c r="F43" s="33">
        <f t="shared" si="9"/>
        <v>0</v>
      </c>
      <c r="G43" s="34">
        <f t="shared" si="10"/>
        <v>5.5</v>
      </c>
      <c r="H43" s="34">
        <f t="shared" si="11"/>
        <v>48.24</v>
      </c>
      <c r="I43" s="12">
        <f t="shared" si="5"/>
        <v>3</v>
      </c>
      <c r="J43" s="23">
        <f t="shared" si="14"/>
        <v>66.608333333333334</v>
      </c>
      <c r="K43" s="25">
        <f t="shared" si="13"/>
        <v>199.82499999999999</v>
      </c>
    </row>
    <row r="44" spans="1:11" ht="23.25" customHeight="1" thickBot="1">
      <c r="A44" s="30">
        <v>40197</v>
      </c>
      <c r="B44" s="27" t="s">
        <v>25</v>
      </c>
      <c r="C44" s="32">
        <v>-1</v>
      </c>
      <c r="D44" s="35">
        <v>81.08</v>
      </c>
      <c r="E44" s="33">
        <f t="shared" si="8"/>
        <v>0</v>
      </c>
      <c r="F44" s="33">
        <f t="shared" si="9"/>
        <v>-81.08</v>
      </c>
      <c r="G44" s="34">
        <f t="shared" si="10"/>
        <v>5.5</v>
      </c>
      <c r="H44" s="34">
        <f t="shared" si="11"/>
        <v>-75.58</v>
      </c>
      <c r="I44" s="12">
        <f t="shared" si="5"/>
        <v>2</v>
      </c>
      <c r="J44" s="23">
        <f t="shared" si="14"/>
        <v>66.608333333333334</v>
      </c>
      <c r="K44" s="25">
        <f t="shared" si="13"/>
        <v>133.21666666666667</v>
      </c>
    </row>
    <row r="45" spans="1:11" ht="23.25" customHeight="1" thickBot="1">
      <c r="A45" s="30">
        <v>40287</v>
      </c>
      <c r="B45" s="27" t="s">
        <v>25</v>
      </c>
      <c r="C45" s="32">
        <v>1</v>
      </c>
      <c r="D45" s="35">
        <v>86.71</v>
      </c>
      <c r="E45" s="33">
        <f t="shared" si="8"/>
        <v>86.71</v>
      </c>
      <c r="F45" s="33">
        <f t="shared" si="9"/>
        <v>0</v>
      </c>
      <c r="G45" s="34">
        <f t="shared" si="10"/>
        <v>5.5</v>
      </c>
      <c r="H45" s="34">
        <f t="shared" si="11"/>
        <v>92.21</v>
      </c>
      <c r="I45" s="12">
        <f t="shared" si="5"/>
        <v>3</v>
      </c>
      <c r="J45" s="23">
        <f t="shared" si="14"/>
        <v>75.14222222222223</v>
      </c>
      <c r="K45" s="25">
        <f t="shared" si="13"/>
        <v>225.42666666666668</v>
      </c>
    </row>
    <row r="46" spans="1:11" ht="23.25" customHeight="1" thickBot="1">
      <c r="A46" s="30">
        <v>40604</v>
      </c>
      <c r="B46" s="27" t="s">
        <v>25</v>
      </c>
      <c r="C46" s="32">
        <v>-1</v>
      </c>
      <c r="D46" s="35">
        <v>113.25</v>
      </c>
      <c r="E46" s="33">
        <f t="shared" si="8"/>
        <v>0</v>
      </c>
      <c r="F46" s="33">
        <f t="shared" si="9"/>
        <v>-113.25</v>
      </c>
      <c r="G46" s="34">
        <f t="shared" si="10"/>
        <v>5.5</v>
      </c>
      <c r="H46" s="34">
        <f t="shared" si="11"/>
        <v>-107.75</v>
      </c>
      <c r="I46" s="12">
        <f t="shared" si="5"/>
        <v>2</v>
      </c>
      <c r="J46" s="23">
        <f t="shared" si="14"/>
        <v>75.14222222222223</v>
      </c>
      <c r="K46" s="25">
        <f t="shared" si="13"/>
        <v>150.28444444444446</v>
      </c>
    </row>
    <row r="47" spans="1:11" ht="23.25" customHeight="1" thickBot="1">
      <c r="A47" s="30">
        <v>40662</v>
      </c>
      <c r="B47" s="27" t="s">
        <v>25</v>
      </c>
      <c r="C47" s="32">
        <v>-1</v>
      </c>
      <c r="D47" s="35">
        <v>120.95</v>
      </c>
      <c r="E47" s="33">
        <f t="shared" si="8"/>
        <v>0</v>
      </c>
      <c r="F47" s="33">
        <f t="shared" si="9"/>
        <v>-120.95</v>
      </c>
      <c r="G47" s="34">
        <f t="shared" si="10"/>
        <v>5.5</v>
      </c>
      <c r="H47" s="34">
        <f t="shared" si="11"/>
        <v>-115.45</v>
      </c>
      <c r="I47" s="12">
        <f t="shared" si="5"/>
        <v>1</v>
      </c>
      <c r="J47" s="23">
        <f t="shared" si="14"/>
        <v>75.14222222222223</v>
      </c>
      <c r="K47" s="25">
        <f t="shared" si="13"/>
        <v>75.14222222222223</v>
      </c>
    </row>
    <row r="48" spans="1:11" ht="23.25" customHeight="1" thickBot="1">
      <c r="A48" s="30">
        <v>40774</v>
      </c>
      <c r="B48" s="27" t="s">
        <v>25</v>
      </c>
      <c r="C48" s="32">
        <v>1</v>
      </c>
      <c r="D48" s="35">
        <v>107.7</v>
      </c>
      <c r="E48" s="33">
        <f t="shared" si="8"/>
        <v>107.7</v>
      </c>
      <c r="F48" s="33">
        <f t="shared" si="9"/>
        <v>0</v>
      </c>
      <c r="G48" s="34">
        <f t="shared" si="10"/>
        <v>5.5</v>
      </c>
      <c r="H48" s="34">
        <f t="shared" si="11"/>
        <v>113.2</v>
      </c>
      <c r="I48" s="12">
        <f t="shared" si="5"/>
        <v>2</v>
      </c>
      <c r="J48" s="23">
        <f t="shared" si="14"/>
        <v>94.171111111111117</v>
      </c>
      <c r="K48" s="25">
        <f t="shared" si="13"/>
        <v>188.34222222222223</v>
      </c>
    </row>
    <row r="49" spans="1:11" ht="23.25" customHeight="1" thickBot="1">
      <c r="A49" s="30">
        <v>39426</v>
      </c>
      <c r="B49" s="27" t="s">
        <v>37</v>
      </c>
      <c r="C49" s="32">
        <v>1</v>
      </c>
      <c r="D49" s="35">
        <v>95.86</v>
      </c>
      <c r="E49" s="33">
        <f t="shared" si="8"/>
        <v>95.86</v>
      </c>
      <c r="F49" s="33">
        <f t="shared" si="9"/>
        <v>0</v>
      </c>
      <c r="G49" s="34">
        <f t="shared" si="10"/>
        <v>5.5</v>
      </c>
      <c r="H49" s="34">
        <f t="shared" si="11"/>
        <v>101.36</v>
      </c>
      <c r="I49" s="12">
        <f>C49</f>
        <v>1</v>
      </c>
      <c r="J49" s="23">
        <f>IF(C49&gt;0,(H49)/I49,0)</f>
        <v>101.36</v>
      </c>
      <c r="K49" s="25">
        <f t="shared" si="13"/>
        <v>101.36</v>
      </c>
    </row>
    <row r="50" spans="1:11" ht="23.25" customHeight="1" thickBot="1">
      <c r="A50" s="30">
        <v>39685</v>
      </c>
      <c r="B50" s="27" t="s">
        <v>37</v>
      </c>
      <c r="C50" s="32">
        <v>1</v>
      </c>
      <c r="D50" s="35">
        <v>68.599999999999994</v>
      </c>
      <c r="E50" s="33">
        <f t="shared" si="8"/>
        <v>68.599999999999994</v>
      </c>
      <c r="F50" s="33">
        <f t="shared" si="9"/>
        <v>0</v>
      </c>
      <c r="G50" s="34">
        <f t="shared" si="10"/>
        <v>5.5</v>
      </c>
      <c r="H50" s="34">
        <f t="shared" si="11"/>
        <v>74.099999999999994</v>
      </c>
      <c r="I50" s="12">
        <f t="shared" si="5"/>
        <v>2</v>
      </c>
      <c r="J50" s="23">
        <f>IF(C50&gt;0,(K49+H50)/I50,J49)</f>
        <v>87.72999999999999</v>
      </c>
      <c r="K50" s="25">
        <f t="shared" si="13"/>
        <v>175.45999999999998</v>
      </c>
    </row>
    <row r="51" spans="1:11" ht="23.25" customHeight="1" thickBot="1">
      <c r="A51" s="30">
        <v>40434</v>
      </c>
      <c r="B51" s="27" t="s">
        <v>37</v>
      </c>
      <c r="C51" s="32">
        <v>1</v>
      </c>
      <c r="D51" s="35">
        <v>83.73</v>
      </c>
      <c r="E51" s="33">
        <f t="shared" si="8"/>
        <v>83.73</v>
      </c>
      <c r="F51" s="33">
        <f t="shared" si="9"/>
        <v>0</v>
      </c>
      <c r="G51" s="34">
        <f t="shared" si="10"/>
        <v>5.5</v>
      </c>
      <c r="H51" s="34">
        <f t="shared" si="11"/>
        <v>89.23</v>
      </c>
      <c r="I51" s="12">
        <f t="shared" si="5"/>
        <v>3</v>
      </c>
      <c r="J51" s="23">
        <f>IF(C51&gt;0,(K50+H51)/I51,J50)</f>
        <v>88.23</v>
      </c>
      <c r="K51" s="25">
        <f t="shared" si="13"/>
        <v>264.69</v>
      </c>
    </row>
    <row r="52" spans="1:11" ht="23.25" customHeight="1" thickBot="1">
      <c r="A52" s="30">
        <v>40465</v>
      </c>
      <c r="B52" s="27" t="s">
        <v>37</v>
      </c>
      <c r="C52" s="32">
        <v>1</v>
      </c>
      <c r="D52" s="35">
        <v>83.66</v>
      </c>
      <c r="E52" s="33">
        <f t="shared" si="8"/>
        <v>83.66</v>
      </c>
      <c r="F52" s="33">
        <f t="shared" si="9"/>
        <v>0</v>
      </c>
      <c r="G52" s="34">
        <f t="shared" si="10"/>
        <v>5.5</v>
      </c>
      <c r="H52" s="34">
        <f t="shared" si="11"/>
        <v>89.16</v>
      </c>
      <c r="I52" s="12">
        <f t="shared" si="5"/>
        <v>4</v>
      </c>
      <c r="J52" s="23">
        <f>IF(C52&gt;0,(K51+H52)/I52,J51)</f>
        <v>88.462500000000006</v>
      </c>
      <c r="K52" s="25">
        <f t="shared" si="13"/>
        <v>353.85</v>
      </c>
    </row>
    <row r="53" spans="1:11" ht="23.25" customHeight="1" thickBot="1">
      <c r="A53" s="30">
        <v>40570</v>
      </c>
      <c r="B53" s="27" t="s">
        <v>37</v>
      </c>
      <c r="C53" s="32">
        <v>1</v>
      </c>
      <c r="D53" s="35">
        <v>85.35</v>
      </c>
      <c r="E53" s="33">
        <f t="shared" si="8"/>
        <v>85.35</v>
      </c>
      <c r="F53" s="33">
        <f t="shared" si="9"/>
        <v>0</v>
      </c>
      <c r="G53" s="34">
        <f t="shared" si="10"/>
        <v>5.5</v>
      </c>
      <c r="H53" s="34">
        <f t="shared" si="11"/>
        <v>90.85</v>
      </c>
      <c r="I53" s="12">
        <f t="shared" si="5"/>
        <v>5</v>
      </c>
      <c r="J53" s="23">
        <f>IF(C53&gt;0,(K52+H53)/I53,J52)</f>
        <v>88.940000000000012</v>
      </c>
      <c r="K53" s="25">
        <f t="shared" si="13"/>
        <v>444.70000000000005</v>
      </c>
    </row>
    <row r="54" spans="1:11" ht="23.25" customHeight="1" thickBot="1">
      <c r="A54" s="30">
        <v>40679</v>
      </c>
      <c r="B54" s="27" t="s">
        <v>37</v>
      </c>
      <c r="C54" s="32">
        <v>1</v>
      </c>
      <c r="D54" s="35">
        <v>85.25</v>
      </c>
      <c r="E54" s="33">
        <f t="shared" si="8"/>
        <v>85.25</v>
      </c>
      <c r="F54" s="33">
        <f t="shared" si="9"/>
        <v>0</v>
      </c>
      <c r="G54" s="34">
        <f t="shared" si="10"/>
        <v>5.5</v>
      </c>
      <c r="H54" s="34">
        <f t="shared" si="11"/>
        <v>90.75</v>
      </c>
      <c r="I54" s="12">
        <f t="shared" si="5"/>
        <v>6</v>
      </c>
      <c r="J54" s="23">
        <f>IF(C54&gt;0,(K53+H54)/I54,J53)</f>
        <v>89.241666666666674</v>
      </c>
      <c r="K54" s="25">
        <f t="shared" si="13"/>
        <v>535.45000000000005</v>
      </c>
    </row>
    <row r="55" spans="1:11" ht="23.25" customHeight="1" thickBot="1">
      <c r="A55" s="30">
        <v>39426</v>
      </c>
      <c r="B55" s="27" t="s">
        <v>40</v>
      </c>
      <c r="C55" s="32">
        <v>2</v>
      </c>
      <c r="D55" s="35">
        <v>75.650000000000006</v>
      </c>
      <c r="E55" s="33">
        <f t="shared" si="8"/>
        <v>151.30000000000001</v>
      </c>
      <c r="F55" s="33">
        <f t="shared" si="9"/>
        <v>0</v>
      </c>
      <c r="G55" s="34">
        <f t="shared" si="10"/>
        <v>5.5</v>
      </c>
      <c r="H55" s="34">
        <f t="shared" si="11"/>
        <v>156.80000000000001</v>
      </c>
      <c r="I55" s="12">
        <f>C55</f>
        <v>2</v>
      </c>
      <c r="J55" s="23">
        <f>IF(C55&gt;0,(H55)/I55,0)</f>
        <v>78.400000000000006</v>
      </c>
      <c r="K55" s="25">
        <f t="shared" si="13"/>
        <v>156.80000000000001</v>
      </c>
    </row>
    <row r="56" spans="1:11" ht="23.25" customHeight="1" thickBot="1">
      <c r="A56" s="30">
        <v>40277</v>
      </c>
      <c r="B56" s="27" t="s">
        <v>40</v>
      </c>
      <c r="C56" s="32">
        <v>-2</v>
      </c>
      <c r="D56" s="35">
        <v>64.97</v>
      </c>
      <c r="E56" s="33">
        <f t="shared" si="8"/>
        <v>0</v>
      </c>
      <c r="F56" s="33">
        <f t="shared" si="9"/>
        <v>-129.94</v>
      </c>
      <c r="G56" s="34">
        <f t="shared" si="10"/>
        <v>5.5</v>
      </c>
      <c r="H56" s="34">
        <f t="shared" si="11"/>
        <v>-124.44</v>
      </c>
      <c r="I56" s="12">
        <f t="shared" si="5"/>
        <v>0</v>
      </c>
      <c r="J56" s="23">
        <f>IF(C56&gt;0,(K55+H56)/I56,J55)</f>
        <v>78.400000000000006</v>
      </c>
      <c r="K56" s="25">
        <f t="shared" si="13"/>
        <v>0</v>
      </c>
    </row>
    <row r="57" spans="1:11" ht="23.25" customHeight="1" thickBot="1">
      <c r="A57" s="30">
        <v>39463</v>
      </c>
      <c r="B57" s="27" t="s">
        <v>45</v>
      </c>
      <c r="C57" s="32">
        <v>1</v>
      </c>
      <c r="D57" s="35">
        <v>88.4</v>
      </c>
      <c r="E57" s="33">
        <f t="shared" si="8"/>
        <v>88.4</v>
      </c>
      <c r="F57" s="33">
        <f t="shared" si="9"/>
        <v>0</v>
      </c>
      <c r="G57" s="34">
        <f t="shared" si="10"/>
        <v>5.5</v>
      </c>
      <c r="H57" s="34">
        <f t="shared" si="11"/>
        <v>93.9</v>
      </c>
      <c r="I57" s="12">
        <f>C57</f>
        <v>1</v>
      </c>
      <c r="J57" s="23">
        <f>IF(C57&gt;0,(H57)/I57,0)</f>
        <v>93.9</v>
      </c>
      <c r="K57" s="25">
        <f t="shared" si="13"/>
        <v>93.9</v>
      </c>
    </row>
    <row r="58" spans="1:11" ht="23.25" customHeight="1" thickBot="1">
      <c r="A58" s="30">
        <v>39729</v>
      </c>
      <c r="B58" s="27" t="s">
        <v>45</v>
      </c>
      <c r="C58" s="32">
        <v>1</v>
      </c>
      <c r="D58" s="35">
        <v>52.585000000000001</v>
      </c>
      <c r="E58" s="33">
        <f t="shared" si="8"/>
        <v>52.585000000000001</v>
      </c>
      <c r="F58" s="33">
        <f t="shared" si="9"/>
        <v>0</v>
      </c>
      <c r="G58" s="34">
        <f t="shared" si="10"/>
        <v>5.5</v>
      </c>
      <c r="H58" s="34">
        <f t="shared" si="11"/>
        <v>58.085000000000001</v>
      </c>
      <c r="I58" s="12">
        <f t="shared" si="5"/>
        <v>2</v>
      </c>
      <c r="J58" s="23">
        <f>IF(C58&gt;0,(K57+H58)/I58,J57)</f>
        <v>75.992500000000007</v>
      </c>
      <c r="K58" s="25">
        <f t="shared" si="13"/>
        <v>151.98500000000001</v>
      </c>
    </row>
    <row r="59" spans="1:11" ht="23.25" customHeight="1" thickBot="1">
      <c r="A59" s="30">
        <v>40197</v>
      </c>
      <c r="B59" s="27" t="s">
        <v>45</v>
      </c>
      <c r="C59" s="32">
        <v>-1</v>
      </c>
      <c r="D59" s="35">
        <v>90.17</v>
      </c>
      <c r="E59" s="33">
        <f t="shared" si="8"/>
        <v>0</v>
      </c>
      <c r="F59" s="33">
        <f t="shared" si="9"/>
        <v>-90.17</v>
      </c>
      <c r="G59" s="34">
        <f t="shared" si="10"/>
        <v>5.5</v>
      </c>
      <c r="H59" s="34">
        <f t="shared" si="11"/>
        <v>-84.67</v>
      </c>
      <c r="I59" s="12">
        <f t="shared" si="5"/>
        <v>1</v>
      </c>
      <c r="J59" s="23">
        <f>IF(C59&gt;0,(K58+H59)/C59,J58)</f>
        <v>75.992500000000007</v>
      </c>
      <c r="K59" s="25">
        <f t="shared" si="13"/>
        <v>75.992500000000007</v>
      </c>
    </row>
    <row r="60" spans="1:11" ht="23.25" customHeight="1" thickBot="1">
      <c r="A60" s="30">
        <v>40234</v>
      </c>
      <c r="B60" s="27" t="s">
        <v>45</v>
      </c>
      <c r="C60" s="32">
        <v>1</v>
      </c>
      <c r="D60" s="35">
        <v>82.56</v>
      </c>
      <c r="E60" s="33">
        <f t="shared" si="8"/>
        <v>82.56</v>
      </c>
      <c r="F60" s="33">
        <f t="shared" si="9"/>
        <v>0</v>
      </c>
      <c r="G60" s="34">
        <f t="shared" si="10"/>
        <v>5.5</v>
      </c>
      <c r="H60" s="34">
        <f t="shared" si="11"/>
        <v>88.06</v>
      </c>
      <c r="I60" s="12">
        <f t="shared" si="5"/>
        <v>2</v>
      </c>
      <c r="J60" s="23">
        <f>IF(C60&gt;0,(K59+H60)/C60,J59)</f>
        <v>164.05250000000001</v>
      </c>
      <c r="K60" s="25">
        <f t="shared" si="13"/>
        <v>328.10500000000002</v>
      </c>
    </row>
    <row r="61" spans="1:11" ht="23.25" customHeight="1" thickBot="1">
      <c r="A61" s="30">
        <v>40277</v>
      </c>
      <c r="B61" s="27" t="s">
        <v>45</v>
      </c>
      <c r="C61" s="32">
        <v>-2</v>
      </c>
      <c r="D61" s="35">
        <v>104.05</v>
      </c>
      <c r="E61" s="33">
        <f t="shared" si="8"/>
        <v>0</v>
      </c>
      <c r="F61" s="33">
        <f t="shared" si="9"/>
        <v>-208.1</v>
      </c>
      <c r="G61" s="34">
        <f t="shared" si="10"/>
        <v>5.5</v>
      </c>
      <c r="H61" s="34">
        <f t="shared" si="11"/>
        <v>-202.6</v>
      </c>
      <c r="I61" s="12">
        <f t="shared" si="5"/>
        <v>0</v>
      </c>
      <c r="J61" s="23">
        <f>IF(C61&gt;0,(K60+H61)/C61,J60)</f>
        <v>164.05250000000001</v>
      </c>
      <c r="K61" s="25">
        <f t="shared" si="13"/>
        <v>0</v>
      </c>
    </row>
    <row r="62" spans="1:11" ht="23.25" customHeight="1" thickBot="1">
      <c r="A62" s="30">
        <v>39423</v>
      </c>
      <c r="B62" s="27" t="s">
        <v>35</v>
      </c>
      <c r="C62" s="32">
        <v>1</v>
      </c>
      <c r="D62" s="35">
        <v>107.28</v>
      </c>
      <c r="E62" s="33">
        <f t="shared" si="8"/>
        <v>107.28</v>
      </c>
      <c r="F62" s="33">
        <f t="shared" si="9"/>
        <v>0</v>
      </c>
      <c r="G62" s="34">
        <f t="shared" si="10"/>
        <v>5.5</v>
      </c>
      <c r="H62" s="34">
        <f t="shared" si="11"/>
        <v>112.78</v>
      </c>
      <c r="I62" s="12">
        <f>C62</f>
        <v>1</v>
      </c>
      <c r="J62" s="23">
        <f>IF(C62&gt;0,(H62)/I62,0)</f>
        <v>112.78</v>
      </c>
      <c r="K62" s="25">
        <f t="shared" si="13"/>
        <v>112.78</v>
      </c>
    </row>
    <row r="63" spans="1:11" ht="23.25" customHeight="1" thickBot="1">
      <c r="A63" s="30">
        <v>39729</v>
      </c>
      <c r="B63" s="27" t="s">
        <v>35</v>
      </c>
      <c r="C63" s="32">
        <v>1</v>
      </c>
      <c r="D63" s="35">
        <v>59.6</v>
      </c>
      <c r="E63" s="33">
        <f t="shared" si="8"/>
        <v>59.6</v>
      </c>
      <c r="F63" s="33">
        <f t="shared" si="9"/>
        <v>0</v>
      </c>
      <c r="G63" s="34">
        <f t="shared" si="10"/>
        <v>5.5</v>
      </c>
      <c r="H63" s="34">
        <f t="shared" si="11"/>
        <v>65.099999999999994</v>
      </c>
      <c r="I63" s="12">
        <f t="shared" si="5"/>
        <v>2</v>
      </c>
      <c r="J63" s="23">
        <f t="shared" ref="J63:J68" si="15">IF(C63&gt;0,(K62+H63)/I63,J62)</f>
        <v>88.94</v>
      </c>
      <c r="K63" s="25">
        <f t="shared" si="13"/>
        <v>177.88</v>
      </c>
    </row>
    <row r="64" spans="1:11" ht="23.25" customHeight="1" thickBot="1">
      <c r="A64" s="30">
        <v>39833</v>
      </c>
      <c r="B64" s="27" t="s">
        <v>35</v>
      </c>
      <c r="C64" s="32">
        <v>1</v>
      </c>
      <c r="D64" s="35">
        <v>27.2</v>
      </c>
      <c r="E64" s="33">
        <f t="shared" si="8"/>
        <v>27.2</v>
      </c>
      <c r="F64" s="33">
        <f t="shared" si="9"/>
        <v>0</v>
      </c>
      <c r="G64" s="34">
        <f t="shared" si="10"/>
        <v>5.5</v>
      </c>
      <c r="H64" s="34">
        <f t="shared" si="11"/>
        <v>32.700000000000003</v>
      </c>
      <c r="I64" s="12">
        <f t="shared" si="5"/>
        <v>3</v>
      </c>
      <c r="J64" s="23">
        <f t="shared" si="15"/>
        <v>70.193333333333328</v>
      </c>
      <c r="K64" s="25">
        <f t="shared" si="13"/>
        <v>210.57999999999998</v>
      </c>
    </row>
    <row r="65" spans="1:11" ht="23.25" customHeight="1" thickBot="1">
      <c r="A65" s="30">
        <v>40486</v>
      </c>
      <c r="B65" s="27" t="s">
        <v>35</v>
      </c>
      <c r="C65" s="32">
        <v>2</v>
      </c>
      <c r="D65" s="35">
        <v>44.85</v>
      </c>
      <c r="E65" s="33">
        <f t="shared" si="8"/>
        <v>89.7</v>
      </c>
      <c r="F65" s="33">
        <f t="shared" si="9"/>
        <v>0</v>
      </c>
      <c r="G65" s="34">
        <f t="shared" si="10"/>
        <v>5.5</v>
      </c>
      <c r="H65" s="34">
        <f t="shared" si="11"/>
        <v>95.2</v>
      </c>
      <c r="I65" s="12">
        <f t="shared" si="5"/>
        <v>5</v>
      </c>
      <c r="J65" s="23">
        <f t="shared" si="15"/>
        <v>61.155999999999992</v>
      </c>
      <c r="K65" s="25">
        <f t="shared" si="13"/>
        <v>305.77999999999997</v>
      </c>
    </row>
    <row r="66" spans="1:11" ht="23.25" customHeight="1" thickBot="1">
      <c r="A66" s="30">
        <v>40581</v>
      </c>
      <c r="B66" s="27" t="s">
        <v>35</v>
      </c>
      <c r="C66" s="32">
        <v>2</v>
      </c>
      <c r="D66" s="35">
        <v>48.08</v>
      </c>
      <c r="E66" s="33">
        <f t="shared" ref="E66:E90" si="16">IF(C66&gt;0,(D66*C66),0)</f>
        <v>96.16</v>
      </c>
      <c r="F66" s="33">
        <f t="shared" ref="F66:F90" si="17">IF(C66&lt;0,(D66*C66),0)</f>
        <v>0</v>
      </c>
      <c r="G66" s="34">
        <f t="shared" ref="G66:G90" si="18">IF((C66&gt;0),5.5,5.5)</f>
        <v>5.5</v>
      </c>
      <c r="H66" s="34">
        <f t="shared" ref="H66:H90" si="19">E66+F66+G66</f>
        <v>101.66</v>
      </c>
      <c r="I66" s="12">
        <f t="shared" si="5"/>
        <v>7</v>
      </c>
      <c r="J66" s="23">
        <f t="shared" si="15"/>
        <v>58.205714285714279</v>
      </c>
      <c r="K66" s="25">
        <f t="shared" ref="K66:K97" si="20">I66*J66</f>
        <v>407.43999999999994</v>
      </c>
    </row>
    <row r="67" spans="1:11" ht="23.25" customHeight="1" thickBot="1">
      <c r="A67" s="30">
        <v>40714</v>
      </c>
      <c r="B67" s="27" t="s">
        <v>35</v>
      </c>
      <c r="C67" s="32">
        <v>1</v>
      </c>
      <c r="D67" s="35">
        <v>38.25</v>
      </c>
      <c r="E67" s="33">
        <f t="shared" si="16"/>
        <v>38.25</v>
      </c>
      <c r="F67" s="33">
        <f t="shared" si="17"/>
        <v>0</v>
      </c>
      <c r="G67" s="34">
        <f t="shared" si="18"/>
        <v>5.5</v>
      </c>
      <c r="H67" s="34">
        <f t="shared" si="19"/>
        <v>43.75</v>
      </c>
      <c r="I67" s="12">
        <f t="shared" si="5"/>
        <v>8</v>
      </c>
      <c r="J67" s="23">
        <f t="shared" si="15"/>
        <v>56.398749999999993</v>
      </c>
      <c r="K67" s="25">
        <f t="shared" si="20"/>
        <v>451.18999999999994</v>
      </c>
    </row>
    <row r="68" spans="1:11" ht="23.25" customHeight="1" thickBot="1">
      <c r="A68" s="30">
        <v>40770</v>
      </c>
      <c r="B68" s="27" t="s">
        <v>35</v>
      </c>
      <c r="C68" s="32">
        <v>2</v>
      </c>
      <c r="D68" s="35">
        <v>24.29</v>
      </c>
      <c r="E68" s="33">
        <f t="shared" si="16"/>
        <v>48.58</v>
      </c>
      <c r="F68" s="33">
        <f t="shared" si="17"/>
        <v>0</v>
      </c>
      <c r="G68" s="34">
        <f t="shared" si="18"/>
        <v>5.5</v>
      </c>
      <c r="H68" s="34">
        <f t="shared" si="19"/>
        <v>54.08</v>
      </c>
      <c r="I68" s="12">
        <f t="shared" si="5"/>
        <v>10</v>
      </c>
      <c r="J68" s="23">
        <f t="shared" si="15"/>
        <v>50.526999999999994</v>
      </c>
      <c r="K68" s="25">
        <f t="shared" si="20"/>
        <v>505.26999999999992</v>
      </c>
    </row>
    <row r="69" spans="1:11" ht="23.25" customHeight="1" thickBot="1">
      <c r="A69" s="30">
        <v>39423</v>
      </c>
      <c r="B69" s="27" t="s">
        <v>34</v>
      </c>
      <c r="C69" s="32">
        <v>1</v>
      </c>
      <c r="D69" s="35">
        <v>10.72</v>
      </c>
      <c r="E69" s="33">
        <f t="shared" si="16"/>
        <v>10.72</v>
      </c>
      <c r="F69" s="33">
        <f t="shared" si="17"/>
        <v>0</v>
      </c>
      <c r="G69" s="34">
        <f t="shared" si="18"/>
        <v>5.5</v>
      </c>
      <c r="H69" s="34">
        <f t="shared" si="19"/>
        <v>16.22</v>
      </c>
      <c r="I69" s="12">
        <f>C69</f>
        <v>1</v>
      </c>
      <c r="J69" s="23">
        <f>IF(C69&gt;0,(H69)/I69,0)</f>
        <v>16.22</v>
      </c>
      <c r="K69" s="25">
        <f t="shared" si="20"/>
        <v>16.22</v>
      </c>
    </row>
    <row r="70" spans="1:11" ht="23.25" customHeight="1" thickBot="1">
      <c r="A70" s="30">
        <v>39567</v>
      </c>
      <c r="B70" s="27" t="s">
        <v>34</v>
      </c>
      <c r="C70" s="32">
        <v>1</v>
      </c>
      <c r="D70" s="35">
        <v>7.67</v>
      </c>
      <c r="E70" s="33">
        <f t="shared" si="16"/>
        <v>7.67</v>
      </c>
      <c r="F70" s="33">
        <f t="shared" si="17"/>
        <v>0</v>
      </c>
      <c r="G70" s="34">
        <f t="shared" si="18"/>
        <v>5.5</v>
      </c>
      <c r="H70" s="34">
        <f t="shared" si="19"/>
        <v>13.17</v>
      </c>
      <c r="I70" s="12">
        <f t="shared" ref="I70:I90" si="21">I69+C70</f>
        <v>2</v>
      </c>
      <c r="J70" s="23">
        <f>IF(C70&gt;0,(K69+H70)/I70,J69)</f>
        <v>14.695</v>
      </c>
      <c r="K70" s="25">
        <f t="shared" si="20"/>
        <v>29.39</v>
      </c>
    </row>
    <row r="71" spans="1:11" ht="23.25" customHeight="1" thickBot="1">
      <c r="A71" s="30">
        <v>39714</v>
      </c>
      <c r="B71" s="27" t="s">
        <v>34</v>
      </c>
      <c r="C71" s="32">
        <v>1</v>
      </c>
      <c r="D71" s="35">
        <v>7.63</v>
      </c>
      <c r="E71" s="33">
        <f t="shared" si="16"/>
        <v>7.63</v>
      </c>
      <c r="F71" s="33">
        <f t="shared" si="17"/>
        <v>0</v>
      </c>
      <c r="G71" s="34">
        <f t="shared" si="18"/>
        <v>5.5</v>
      </c>
      <c r="H71" s="34">
        <f t="shared" si="19"/>
        <v>13.129999999999999</v>
      </c>
      <c r="I71" s="12">
        <f t="shared" si="21"/>
        <v>3</v>
      </c>
      <c r="J71" s="23">
        <f>IF(C71&gt;0,(K70+H71)/I71,J70)</f>
        <v>14.173333333333332</v>
      </c>
      <c r="K71" s="25">
        <f t="shared" si="20"/>
        <v>42.519999999999996</v>
      </c>
    </row>
    <row r="72" spans="1:11" ht="23.25" customHeight="1" thickBot="1">
      <c r="A72" s="30">
        <v>40081</v>
      </c>
      <c r="B72" s="27" t="s">
        <v>34</v>
      </c>
      <c r="C72" s="32">
        <v>1</v>
      </c>
      <c r="D72" s="35">
        <v>6.38</v>
      </c>
      <c r="E72" s="33">
        <f t="shared" si="16"/>
        <v>6.38</v>
      </c>
      <c r="F72" s="33">
        <f t="shared" si="17"/>
        <v>0</v>
      </c>
      <c r="G72" s="34">
        <f t="shared" si="18"/>
        <v>5.5</v>
      </c>
      <c r="H72" s="34">
        <f t="shared" si="19"/>
        <v>11.879999999999999</v>
      </c>
      <c r="I72" s="12">
        <f t="shared" si="21"/>
        <v>4</v>
      </c>
      <c r="J72" s="23">
        <f>IF(C72&gt;0,(K71+H72)/I72,J71)</f>
        <v>13.599999999999998</v>
      </c>
      <c r="K72" s="25">
        <f t="shared" si="20"/>
        <v>54.399999999999991</v>
      </c>
    </row>
    <row r="73" spans="1:11" ht="23.25" customHeight="1" thickBot="1">
      <c r="A73" s="30">
        <v>40744</v>
      </c>
      <c r="B73" s="27" t="s">
        <v>34</v>
      </c>
      <c r="C73" s="32">
        <v>4</v>
      </c>
      <c r="D73" s="35">
        <v>6.35</v>
      </c>
      <c r="E73" s="33">
        <f t="shared" si="16"/>
        <v>25.4</v>
      </c>
      <c r="F73" s="33">
        <f t="shared" si="17"/>
        <v>0</v>
      </c>
      <c r="G73" s="34">
        <f t="shared" si="18"/>
        <v>5.5</v>
      </c>
      <c r="H73" s="34">
        <f t="shared" si="19"/>
        <v>30.9</v>
      </c>
      <c r="I73" s="12">
        <f t="shared" si="21"/>
        <v>8</v>
      </c>
      <c r="J73" s="23">
        <f>IF(C73&gt;0,(K72+H73)/I73,J72)</f>
        <v>10.662499999999998</v>
      </c>
      <c r="K73" s="25">
        <f t="shared" si="20"/>
        <v>85.299999999999983</v>
      </c>
    </row>
    <row r="74" spans="1:11" ht="23.25" customHeight="1" thickBot="1">
      <c r="A74" s="30">
        <v>40770</v>
      </c>
      <c r="B74" s="27" t="s">
        <v>34</v>
      </c>
      <c r="C74" s="32">
        <v>1</v>
      </c>
      <c r="D74" s="35">
        <v>4.82</v>
      </c>
      <c r="E74" s="33">
        <f t="shared" si="16"/>
        <v>4.82</v>
      </c>
      <c r="F74" s="33">
        <f t="shared" si="17"/>
        <v>0</v>
      </c>
      <c r="G74" s="34">
        <f t="shared" si="18"/>
        <v>5.5</v>
      </c>
      <c r="H74" s="34">
        <f t="shared" si="19"/>
        <v>10.32</v>
      </c>
      <c r="I74" s="12">
        <f t="shared" si="21"/>
        <v>9</v>
      </c>
      <c r="J74" s="23">
        <f>IF(C74&gt;0,(K73+H74)/I74,J73)</f>
        <v>10.624444444444443</v>
      </c>
      <c r="K74" s="25">
        <f t="shared" si="20"/>
        <v>95.619999999999976</v>
      </c>
    </row>
    <row r="75" spans="1:11" ht="23.25" customHeight="1" thickBot="1">
      <c r="A75" s="30">
        <v>39429</v>
      </c>
      <c r="B75" s="27" t="s">
        <v>44</v>
      </c>
      <c r="C75" s="32">
        <v>1</v>
      </c>
      <c r="D75" s="35">
        <v>55.36</v>
      </c>
      <c r="E75" s="33">
        <f t="shared" si="16"/>
        <v>55.36</v>
      </c>
      <c r="F75" s="33">
        <f t="shared" si="17"/>
        <v>0</v>
      </c>
      <c r="G75" s="34">
        <f t="shared" si="18"/>
        <v>5.5</v>
      </c>
      <c r="H75" s="34">
        <f t="shared" si="19"/>
        <v>60.86</v>
      </c>
      <c r="I75" s="12">
        <f>C75</f>
        <v>1</v>
      </c>
      <c r="J75" s="23">
        <f>IF(C75&gt;0,(H75)/I75,0)</f>
        <v>60.86</v>
      </c>
      <c r="K75" s="25">
        <f t="shared" si="20"/>
        <v>60.86</v>
      </c>
    </row>
    <row r="76" spans="1:11" ht="23.25" customHeight="1" thickBot="1">
      <c r="A76" s="30">
        <v>39714</v>
      </c>
      <c r="B76" s="27" t="s">
        <v>44</v>
      </c>
      <c r="C76" s="32">
        <v>1</v>
      </c>
      <c r="D76" s="35">
        <v>33.409999999999997</v>
      </c>
      <c r="E76" s="33">
        <f t="shared" si="16"/>
        <v>33.409999999999997</v>
      </c>
      <c r="F76" s="33">
        <f t="shared" si="17"/>
        <v>0</v>
      </c>
      <c r="G76" s="34">
        <f t="shared" si="18"/>
        <v>5.5</v>
      </c>
      <c r="H76" s="34">
        <f t="shared" si="19"/>
        <v>38.909999999999997</v>
      </c>
      <c r="I76" s="12">
        <f t="shared" si="21"/>
        <v>2</v>
      </c>
      <c r="J76" s="23">
        <f t="shared" ref="J76:J84" si="22">IF(C76&gt;0,(K75+H76)/I76,J75)</f>
        <v>49.884999999999998</v>
      </c>
      <c r="K76" s="25">
        <f t="shared" si="20"/>
        <v>99.77</v>
      </c>
    </row>
    <row r="77" spans="1:11" ht="23.25" customHeight="1" thickBot="1">
      <c r="A77" s="30">
        <v>39994</v>
      </c>
      <c r="B77" s="27" t="s">
        <v>44</v>
      </c>
      <c r="C77" s="32">
        <v>1</v>
      </c>
      <c r="D77" s="35">
        <v>32.700000000000003</v>
      </c>
      <c r="E77" s="33">
        <f t="shared" si="16"/>
        <v>32.700000000000003</v>
      </c>
      <c r="F77" s="33">
        <f t="shared" si="17"/>
        <v>0</v>
      </c>
      <c r="G77" s="34">
        <f t="shared" si="18"/>
        <v>5.5</v>
      </c>
      <c r="H77" s="34">
        <f t="shared" si="19"/>
        <v>38.200000000000003</v>
      </c>
      <c r="I77" s="12">
        <f t="shared" si="21"/>
        <v>3</v>
      </c>
      <c r="J77" s="23">
        <f t="shared" si="22"/>
        <v>45.99</v>
      </c>
      <c r="K77" s="25">
        <f t="shared" si="20"/>
        <v>137.97</v>
      </c>
    </row>
    <row r="78" spans="1:11" ht="23.25" customHeight="1" thickBot="1">
      <c r="A78" s="30">
        <v>40095</v>
      </c>
      <c r="B78" s="27" t="s">
        <v>44</v>
      </c>
      <c r="C78" s="32">
        <v>1</v>
      </c>
      <c r="D78" s="35">
        <v>39.25</v>
      </c>
      <c r="E78" s="33">
        <f t="shared" si="16"/>
        <v>39.25</v>
      </c>
      <c r="F78" s="33">
        <f t="shared" si="17"/>
        <v>0</v>
      </c>
      <c r="G78" s="34">
        <f t="shared" si="18"/>
        <v>5.5</v>
      </c>
      <c r="H78" s="34">
        <f t="shared" si="19"/>
        <v>44.75</v>
      </c>
      <c r="I78" s="12">
        <f t="shared" si="21"/>
        <v>4</v>
      </c>
      <c r="J78" s="23">
        <f t="shared" si="22"/>
        <v>45.68</v>
      </c>
      <c r="K78" s="25">
        <f t="shared" si="20"/>
        <v>182.72</v>
      </c>
    </row>
    <row r="79" spans="1:11" ht="23.25" customHeight="1" thickBot="1">
      <c r="A79" s="30">
        <v>40228</v>
      </c>
      <c r="B79" s="27" t="s">
        <v>44</v>
      </c>
      <c r="C79" s="32">
        <v>1</v>
      </c>
      <c r="D79" s="35">
        <v>38.61</v>
      </c>
      <c r="E79" s="33">
        <f t="shared" si="16"/>
        <v>38.61</v>
      </c>
      <c r="F79" s="33">
        <f t="shared" si="17"/>
        <v>0</v>
      </c>
      <c r="G79" s="34">
        <f t="shared" si="18"/>
        <v>5.5</v>
      </c>
      <c r="H79" s="34">
        <f t="shared" si="19"/>
        <v>44.11</v>
      </c>
      <c r="I79" s="12">
        <f t="shared" si="21"/>
        <v>5</v>
      </c>
      <c r="J79" s="23">
        <f t="shared" si="22"/>
        <v>45.366</v>
      </c>
      <c r="K79" s="25">
        <f t="shared" si="20"/>
        <v>226.82999999999998</v>
      </c>
    </row>
    <row r="80" spans="1:11" ht="23.25" customHeight="1" thickBot="1">
      <c r="A80" s="30">
        <v>40277</v>
      </c>
      <c r="B80" s="27" t="s">
        <v>44</v>
      </c>
      <c r="C80" s="32">
        <v>5</v>
      </c>
      <c r="D80" s="35">
        <v>44.6</v>
      </c>
      <c r="E80" s="33">
        <f t="shared" si="16"/>
        <v>223</v>
      </c>
      <c r="F80" s="33">
        <f t="shared" si="17"/>
        <v>0</v>
      </c>
      <c r="G80" s="34">
        <f t="shared" si="18"/>
        <v>5.5</v>
      </c>
      <c r="H80" s="34">
        <f t="shared" si="19"/>
        <v>228.5</v>
      </c>
      <c r="I80" s="12">
        <f t="shared" si="21"/>
        <v>10</v>
      </c>
      <c r="J80" s="23">
        <f t="shared" si="22"/>
        <v>45.533000000000001</v>
      </c>
      <c r="K80" s="25">
        <f t="shared" si="20"/>
        <v>455.33000000000004</v>
      </c>
    </row>
    <row r="81" spans="1:11" ht="23.25" customHeight="1" thickBot="1">
      <c r="A81" s="30">
        <v>40297</v>
      </c>
      <c r="B81" s="27" t="s">
        <v>44</v>
      </c>
      <c r="C81" s="32">
        <v>2</v>
      </c>
      <c r="D81" s="35">
        <v>41.98</v>
      </c>
      <c r="E81" s="33">
        <f t="shared" si="16"/>
        <v>83.96</v>
      </c>
      <c r="F81" s="33">
        <f t="shared" si="17"/>
        <v>0</v>
      </c>
      <c r="G81" s="34">
        <f t="shared" si="18"/>
        <v>5.5</v>
      </c>
      <c r="H81" s="34">
        <f t="shared" si="19"/>
        <v>89.46</v>
      </c>
      <c r="I81" s="12">
        <f t="shared" si="21"/>
        <v>12</v>
      </c>
      <c r="J81" s="23">
        <f t="shared" si="22"/>
        <v>45.399166666666673</v>
      </c>
      <c r="K81" s="25">
        <f t="shared" si="20"/>
        <v>544.79000000000008</v>
      </c>
    </row>
    <row r="82" spans="1:11" ht="23.25" customHeight="1" thickBot="1">
      <c r="A82" s="30">
        <v>40581</v>
      </c>
      <c r="B82" s="27" t="s">
        <v>44</v>
      </c>
      <c r="C82" s="32">
        <v>1</v>
      </c>
      <c r="D82" s="35">
        <v>42.98</v>
      </c>
      <c r="E82" s="33">
        <f t="shared" si="16"/>
        <v>42.98</v>
      </c>
      <c r="F82" s="33">
        <f t="shared" si="17"/>
        <v>0</v>
      </c>
      <c r="G82" s="34">
        <f t="shared" si="18"/>
        <v>5.5</v>
      </c>
      <c r="H82" s="34">
        <f t="shared" si="19"/>
        <v>48.48</v>
      </c>
      <c r="I82" s="12">
        <f t="shared" si="21"/>
        <v>13</v>
      </c>
      <c r="J82" s="23">
        <f t="shared" si="22"/>
        <v>45.636153846153853</v>
      </c>
      <c r="K82" s="25">
        <f t="shared" si="20"/>
        <v>593.2700000000001</v>
      </c>
    </row>
    <row r="83" spans="1:11" ht="23.25" customHeight="1" thickBot="1">
      <c r="A83" s="30">
        <v>40667</v>
      </c>
      <c r="B83" s="27" t="s">
        <v>44</v>
      </c>
      <c r="C83" s="32">
        <v>1</v>
      </c>
      <c r="D83" s="35">
        <v>44.62</v>
      </c>
      <c r="E83" s="33">
        <f t="shared" si="16"/>
        <v>44.62</v>
      </c>
      <c r="F83" s="33">
        <f t="shared" si="17"/>
        <v>0</v>
      </c>
      <c r="G83" s="34">
        <f t="shared" si="18"/>
        <v>5.5</v>
      </c>
      <c r="H83" s="34">
        <f t="shared" si="19"/>
        <v>50.12</v>
      </c>
      <c r="I83" s="12">
        <f t="shared" si="21"/>
        <v>14</v>
      </c>
      <c r="J83" s="23">
        <f t="shared" si="22"/>
        <v>45.956428571428582</v>
      </c>
      <c r="K83" s="25">
        <f t="shared" si="20"/>
        <v>643.3900000000001</v>
      </c>
    </row>
    <row r="84" spans="1:11" ht="23.25" customHeight="1" thickBot="1">
      <c r="A84" s="30">
        <v>40771</v>
      </c>
      <c r="B84" s="27" t="s">
        <v>44</v>
      </c>
      <c r="C84" s="32">
        <v>1</v>
      </c>
      <c r="D84" s="35">
        <v>35.119999999999997</v>
      </c>
      <c r="E84" s="33">
        <f t="shared" si="16"/>
        <v>35.119999999999997</v>
      </c>
      <c r="F84" s="33">
        <f t="shared" si="17"/>
        <v>0</v>
      </c>
      <c r="G84" s="34">
        <f t="shared" si="18"/>
        <v>5.5</v>
      </c>
      <c r="H84" s="34">
        <f t="shared" si="19"/>
        <v>40.619999999999997</v>
      </c>
      <c r="I84" s="12">
        <f t="shared" si="21"/>
        <v>15</v>
      </c>
      <c r="J84" s="23">
        <f t="shared" si="22"/>
        <v>45.600666666666676</v>
      </c>
      <c r="K84" s="25">
        <f t="shared" si="20"/>
        <v>684.0100000000001</v>
      </c>
    </row>
    <row r="85" spans="1:11" ht="23.25" customHeight="1" thickBot="1">
      <c r="A85" s="30">
        <v>39426</v>
      </c>
      <c r="B85" s="27" t="s">
        <v>39</v>
      </c>
      <c r="C85" s="32">
        <v>1</v>
      </c>
      <c r="D85" s="35">
        <v>32.11</v>
      </c>
      <c r="E85" s="33">
        <f t="shared" si="16"/>
        <v>32.11</v>
      </c>
      <c r="F85" s="33">
        <f t="shared" si="17"/>
        <v>0</v>
      </c>
      <c r="G85" s="34">
        <f t="shared" si="18"/>
        <v>5.5</v>
      </c>
      <c r="H85" s="34">
        <f t="shared" si="19"/>
        <v>37.61</v>
      </c>
      <c r="I85" s="12">
        <f>C85</f>
        <v>1</v>
      </c>
      <c r="J85" s="23">
        <f>IF(C85&gt;0,(H85)/I85,0)</f>
        <v>37.61</v>
      </c>
      <c r="K85" s="25">
        <f t="shared" si="20"/>
        <v>37.61</v>
      </c>
    </row>
    <row r="86" spans="1:11" ht="23.25" customHeight="1" thickBot="1">
      <c r="A86" s="30">
        <v>39622</v>
      </c>
      <c r="B86" s="27" t="s">
        <v>39</v>
      </c>
      <c r="C86" s="32">
        <v>1</v>
      </c>
      <c r="D86" s="35">
        <v>24.6</v>
      </c>
      <c r="E86" s="33">
        <f t="shared" si="16"/>
        <v>24.6</v>
      </c>
      <c r="F86" s="33">
        <f t="shared" si="17"/>
        <v>0</v>
      </c>
      <c r="G86" s="34">
        <f t="shared" si="18"/>
        <v>5.5</v>
      </c>
      <c r="H86" s="34">
        <f t="shared" si="19"/>
        <v>30.1</v>
      </c>
      <c r="I86" s="12">
        <f t="shared" si="21"/>
        <v>2</v>
      </c>
      <c r="J86" s="23">
        <f>IF(C86&gt;0,(K85+H86)/I86,J85)</f>
        <v>33.855000000000004</v>
      </c>
      <c r="K86" s="25">
        <f t="shared" si="20"/>
        <v>67.710000000000008</v>
      </c>
    </row>
    <row r="87" spans="1:11" ht="23.25" customHeight="1" thickBot="1">
      <c r="A87" s="30">
        <v>39714</v>
      </c>
      <c r="B87" s="27" t="s">
        <v>39</v>
      </c>
      <c r="C87" s="32">
        <v>1</v>
      </c>
      <c r="D87" s="35">
        <v>23.02</v>
      </c>
      <c r="E87" s="33">
        <f t="shared" si="16"/>
        <v>23.02</v>
      </c>
      <c r="F87" s="33">
        <f t="shared" si="17"/>
        <v>0</v>
      </c>
      <c r="G87" s="34">
        <f t="shared" si="18"/>
        <v>5.5</v>
      </c>
      <c r="H87" s="34">
        <f t="shared" si="19"/>
        <v>28.52</v>
      </c>
      <c r="I87" s="12">
        <f t="shared" si="21"/>
        <v>3</v>
      </c>
      <c r="J87" s="23">
        <f>IF(C87&gt;0,(K86+H87)/I87,J86)</f>
        <v>32.076666666666668</v>
      </c>
      <c r="K87" s="25">
        <f t="shared" si="20"/>
        <v>96.23</v>
      </c>
    </row>
    <row r="88" spans="1:11" ht="23.25" customHeight="1" thickBot="1">
      <c r="A88" s="30">
        <v>40228</v>
      </c>
      <c r="B88" s="27" t="s">
        <v>39</v>
      </c>
      <c r="C88" s="32">
        <v>1</v>
      </c>
      <c r="D88" s="35">
        <v>18.41</v>
      </c>
      <c r="E88" s="33">
        <f t="shared" si="16"/>
        <v>18.41</v>
      </c>
      <c r="F88" s="33">
        <f t="shared" si="17"/>
        <v>0</v>
      </c>
      <c r="G88" s="34">
        <f t="shared" si="18"/>
        <v>5.5</v>
      </c>
      <c r="H88" s="34">
        <f t="shared" si="19"/>
        <v>23.91</v>
      </c>
      <c r="I88" s="12">
        <f t="shared" si="21"/>
        <v>4</v>
      </c>
      <c r="J88" s="23">
        <f>IF(C88&gt;0,(K87+H88)/I88,J87)</f>
        <v>30.035</v>
      </c>
      <c r="K88" s="25">
        <f t="shared" si="20"/>
        <v>120.14</v>
      </c>
    </row>
    <row r="89" spans="1:11" ht="23.25" customHeight="1" thickBot="1">
      <c r="A89" s="30">
        <v>40504</v>
      </c>
      <c r="B89" s="27" t="s">
        <v>39</v>
      </c>
      <c r="C89" s="32">
        <v>3</v>
      </c>
      <c r="D89" s="35">
        <v>20.399999999999999</v>
      </c>
      <c r="E89" s="33">
        <f t="shared" si="16"/>
        <v>61.199999999999996</v>
      </c>
      <c r="F89" s="33">
        <f t="shared" si="17"/>
        <v>0</v>
      </c>
      <c r="G89" s="34">
        <f t="shared" si="18"/>
        <v>5.5</v>
      </c>
      <c r="H89" s="34">
        <f t="shared" si="19"/>
        <v>66.699999999999989</v>
      </c>
      <c r="I89" s="12">
        <f t="shared" si="21"/>
        <v>7</v>
      </c>
      <c r="J89" s="23">
        <f>IF(C89&gt;0,(K88+H89)/I89,J88)</f>
        <v>26.691428571428567</v>
      </c>
      <c r="K89" s="25">
        <f t="shared" si="20"/>
        <v>186.83999999999997</v>
      </c>
    </row>
    <row r="90" spans="1:11" ht="23.25" customHeight="1" thickBot="1">
      <c r="A90" s="30">
        <v>40604</v>
      </c>
      <c r="B90" s="27" t="s">
        <v>39</v>
      </c>
      <c r="C90" s="32">
        <v>1</v>
      </c>
      <c r="D90" s="35">
        <v>20.170000000000002</v>
      </c>
      <c r="E90" s="33">
        <f t="shared" si="16"/>
        <v>20.170000000000002</v>
      </c>
      <c r="F90" s="33">
        <f t="shared" si="17"/>
        <v>0</v>
      </c>
      <c r="G90" s="34">
        <f t="shared" si="18"/>
        <v>5.5</v>
      </c>
      <c r="H90" s="34">
        <f t="shared" si="19"/>
        <v>25.67</v>
      </c>
      <c r="I90" s="12">
        <f t="shared" si="21"/>
        <v>8</v>
      </c>
      <c r="J90" s="23">
        <f>IF(C90&gt;0,(K89+H90)/I90,J89)</f>
        <v>26.563749999999999</v>
      </c>
      <c r="K90" s="25">
        <f t="shared" si="20"/>
        <v>212.51</v>
      </c>
    </row>
    <row r="91" spans="1:11" ht="23.25" customHeight="1" thickBot="1">
      <c r="A91" s="30"/>
      <c r="B91" s="27"/>
      <c r="C91" s="32"/>
      <c r="D91" s="35"/>
      <c r="E91" s="33"/>
      <c r="F91" s="33"/>
      <c r="G91" s="34"/>
      <c r="H91" s="34"/>
      <c r="I91" s="45"/>
    </row>
    <row r="92" spans="1:11" ht="23.25" customHeight="1" thickBot="1">
      <c r="A92" s="30"/>
      <c r="B92" s="27"/>
      <c r="C92" s="32"/>
      <c r="D92" s="35"/>
      <c r="E92" s="33"/>
      <c r="F92" s="33"/>
      <c r="G92" s="34"/>
      <c r="H92" s="34"/>
      <c r="I92" s="45"/>
    </row>
  </sheetData>
  <sortState ref="A2:H92">
    <sortCondition ref="B2:B92"/>
    <sortCondition ref="A2:A92"/>
  </sortState>
  <conditionalFormatting sqref="A2:A92">
    <cfRule type="cellIs" dxfId="5" priority="5" operator="between">
      <formula>39814</formula>
      <formula>40178</formula>
    </cfRule>
    <cfRule type="cellIs" dxfId="4" priority="6" operator="between">
      <formula>39448</formula>
      <formula>39813</formula>
    </cfRule>
    <cfRule type="cellIs" dxfId="3" priority="7" operator="lessThan">
      <formula>39448</formula>
    </cfRule>
  </conditionalFormatting>
  <conditionalFormatting sqref="C2:C92 F2:F92 I3:I90">
    <cfRule type="cellIs" dxfId="2" priority="4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B1:T48"/>
  <sheetViews>
    <sheetView zoomScale="90" zoomScaleNormal="90" workbookViewId="0">
      <selection activeCell="E22" sqref="E22"/>
    </sheetView>
  </sheetViews>
  <sheetFormatPr baseColWidth="10" defaultRowHeight="15"/>
  <cols>
    <col min="1" max="1" width="2.5703125" style="29" customWidth="1"/>
    <col min="2" max="2" width="21.5703125" style="29" bestFit="1" customWidth="1"/>
    <col min="3" max="3" width="8.5703125" style="29" bestFit="1" customWidth="1"/>
    <col min="4" max="4" width="8.7109375" style="29" bestFit="1" customWidth="1"/>
    <col min="5" max="5" width="10.28515625" style="29" bestFit="1" customWidth="1"/>
    <col min="6" max="6" width="8.7109375" style="29" bestFit="1" customWidth="1"/>
    <col min="7" max="7" width="11.42578125" style="29" bestFit="1" customWidth="1"/>
    <col min="8" max="8" width="2.140625" style="29" customWidth="1"/>
    <col min="9" max="9" width="8.5703125" style="29" bestFit="1" customWidth="1"/>
    <col min="10" max="10" width="8.7109375" style="29" bestFit="1" customWidth="1"/>
    <col min="11" max="11" width="11" style="29" bestFit="1" customWidth="1"/>
    <col min="12" max="12" width="8.7109375" style="29" bestFit="1" customWidth="1"/>
    <col min="13" max="13" width="11.42578125" style="29" bestFit="1" customWidth="1"/>
    <col min="14" max="14" width="2.28515625" style="29" customWidth="1"/>
    <col min="15" max="15" width="9.5703125" style="29" bestFit="1" customWidth="1"/>
    <col min="16" max="16" width="11.5703125" style="29" customWidth="1"/>
    <col min="17" max="17" width="17.140625" style="29" bestFit="1" customWidth="1"/>
    <col min="18" max="18" width="2.140625" style="29" customWidth="1"/>
    <col min="19" max="68" width="9.28515625" style="29" bestFit="1" customWidth="1"/>
    <col min="69" max="16384" width="11.42578125" style="29"/>
  </cols>
  <sheetData>
    <row r="1" spans="2:20" s="37" customFormat="1" ht="14.25" customHeight="1" thickBot="1"/>
    <row r="2" spans="2:20" ht="21" customHeight="1" thickBot="1">
      <c r="C2" s="47" t="s">
        <v>46</v>
      </c>
      <c r="D2" s="48"/>
      <c r="E2" s="48"/>
      <c r="F2" s="48"/>
      <c r="G2" s="49"/>
      <c r="I2" s="47" t="s">
        <v>47</v>
      </c>
      <c r="J2" s="48"/>
      <c r="K2" s="48"/>
      <c r="L2" s="48"/>
      <c r="M2" s="49"/>
    </row>
    <row r="3" spans="2:20" ht="28.5" customHeight="1" thickBot="1">
      <c r="C3" s="38">
        <f>SUM(C5:C100)</f>
        <v>96</v>
      </c>
      <c r="D3" s="39">
        <f>SUM(D5:D100)</f>
        <v>627.16836111111115</v>
      </c>
      <c r="E3" s="39">
        <f t="shared" ref="E3:G3" si="0">SUM(E5:E100)</f>
        <v>3615.4589999999998</v>
      </c>
      <c r="F3" s="39">
        <f t="shared" si="0"/>
        <v>528</v>
      </c>
      <c r="G3" s="39">
        <f t="shared" si="0"/>
        <v>4143.4589999999998</v>
      </c>
      <c r="I3" s="38">
        <f>SUM(I5:I100)</f>
        <v>-23</v>
      </c>
      <c r="J3" s="39">
        <f>SUM(J5:J100)</f>
        <v>365.57566666666668</v>
      </c>
      <c r="K3" s="39">
        <f t="shared" ref="K3:M3" si="1">SUM(K5:K100)</f>
        <v>-1041.2339999999999</v>
      </c>
      <c r="L3" s="39">
        <f t="shared" si="1"/>
        <v>126.5</v>
      </c>
      <c r="M3" s="39">
        <f t="shared" si="1"/>
        <v>-914.73399999999992</v>
      </c>
      <c r="O3" s="38">
        <f>SUM(O5:O100)</f>
        <v>73</v>
      </c>
      <c r="Q3" s="39">
        <f t="shared" ref="Q3" si="2">SUM(Q5:Q100)</f>
        <v>2992.192222222222</v>
      </c>
    </row>
    <row r="4" spans="2:20" ht="30.75" thickBot="1">
      <c r="C4" s="28" t="s">
        <v>13</v>
      </c>
      <c r="D4" s="28" t="s">
        <v>14</v>
      </c>
      <c r="E4" s="28" t="s">
        <v>46</v>
      </c>
      <c r="F4" s="28" t="s">
        <v>16</v>
      </c>
      <c r="G4" s="28" t="s">
        <v>27</v>
      </c>
      <c r="I4" s="28" t="s">
        <v>13</v>
      </c>
      <c r="J4" s="28" t="s">
        <v>14</v>
      </c>
      <c r="K4" s="28" t="s">
        <v>47</v>
      </c>
      <c r="L4" s="28" t="s">
        <v>16</v>
      </c>
      <c r="M4" s="28" t="s">
        <v>27</v>
      </c>
      <c r="O4" s="28" t="s">
        <v>13</v>
      </c>
      <c r="P4" s="40" t="s">
        <v>48</v>
      </c>
      <c r="Q4" s="41" t="s">
        <v>49</v>
      </c>
    </row>
    <row r="5" spans="2:20" ht="19.5" customHeight="1" thickBot="1">
      <c r="B5" s="27" t="s">
        <v>29</v>
      </c>
      <c r="C5" s="38">
        <f>SUMIFS('saisie achats'!C:C,'saisie achats'!C:C,"&gt;0",'saisie achats'!B:B,B5)</f>
        <v>3</v>
      </c>
      <c r="D5" s="42">
        <f>(SUMIFS('saisie achats'!E:E,'saisie achats'!C:C,"&gt;0",'saisie achats'!B:B,B5))/C5</f>
        <v>17.279999999999998</v>
      </c>
      <c r="E5" s="42">
        <f>D5*C5</f>
        <v>51.839999999999989</v>
      </c>
      <c r="F5" s="43">
        <f>IF((0&lt;C5&gt;0),(5.5*C5),0)</f>
        <v>16.5</v>
      </c>
      <c r="G5" s="43">
        <f>E5+F5</f>
        <v>68.339999999999989</v>
      </c>
      <c r="H5" s="44"/>
      <c r="I5" s="38">
        <f>SUMIFS('saisie achats'!C:C,'saisie achats'!C:C,"&lt;0",'saisie achats'!B:B,B5)</f>
        <v>-3</v>
      </c>
      <c r="J5" s="42">
        <f>IF(I5=0,0,(SUMIFS('saisie achats'!F:F,'saisie achats'!C:C,"&lt;0",'saisie achats'!B:B,B5))/I5)</f>
        <v>11.979999999999999</v>
      </c>
      <c r="K5" s="42">
        <f>J5*I5</f>
        <v>-35.94</v>
      </c>
      <c r="L5" s="43">
        <f>IF((0&lt;I5&gt;0),(-5.5*I5),0)</f>
        <v>16.5</v>
      </c>
      <c r="M5" s="43">
        <f>K5+L5</f>
        <v>-19.439999999999998</v>
      </c>
      <c r="N5" s="44"/>
      <c r="O5" s="38">
        <f>C5+I5</f>
        <v>0</v>
      </c>
      <c r="P5" s="43">
        <v>22.78</v>
      </c>
      <c r="Q5" s="43">
        <f t="shared" ref="Q5:Q19" si="3">P5*O5</f>
        <v>0</v>
      </c>
      <c r="S5" s="29">
        <f>MATCH(B5,'saisie achats'!B:B)</f>
        <v>5</v>
      </c>
      <c r="T5" s="46">
        <f>INDEX('saisie achats'!A:K,S5,10)</f>
        <v>22.78</v>
      </c>
    </row>
    <row r="6" spans="2:20" ht="19.5" customHeight="1" thickBot="1">
      <c r="B6" s="31" t="s">
        <v>30</v>
      </c>
      <c r="C6" s="38">
        <f>SUMIFS('saisie achats'!C:C,'saisie achats'!C:C,"&gt;0",'saisie achats'!B:B,B6)</f>
        <v>3</v>
      </c>
      <c r="D6" s="42">
        <f>(SUMIFS('saisie achats'!E:E,'saisie achats'!C:C,"&gt;0",'saisie achats'!B:B,B6))/C6</f>
        <v>42.063333333333333</v>
      </c>
      <c r="E6" s="42">
        <f t="shared" ref="E6:E19" si="4">D6*C6</f>
        <v>126.19</v>
      </c>
      <c r="F6" s="43">
        <f t="shared" ref="F6:F19" si="5">IF((0&lt;C6&gt;0),(5.5*C6),0)</f>
        <v>16.5</v>
      </c>
      <c r="G6" s="43">
        <f t="shared" ref="G6:G19" si="6">E6+F6</f>
        <v>142.69</v>
      </c>
      <c r="H6" s="44"/>
      <c r="I6" s="38">
        <f>SUMIFS('saisie achats'!C:C,'saisie achats'!C:C,"&lt;0",'saisie achats'!B:B,B6)</f>
        <v>-3</v>
      </c>
      <c r="J6" s="42">
        <f>IF(I6=0,0,(SUMIFS('saisie achats'!F:F,'saisie achats'!C:C,"&lt;0",'saisie achats'!B:B,B6))/I6)</f>
        <v>24.48</v>
      </c>
      <c r="K6" s="42">
        <f t="shared" ref="K6:K19" si="7">J6*I6</f>
        <v>-73.44</v>
      </c>
      <c r="L6" s="43">
        <f t="shared" ref="L6:L19" si="8">IF((0&lt;I6&gt;0),(-5.5*I6),0)</f>
        <v>16.5</v>
      </c>
      <c r="M6" s="43">
        <f t="shared" ref="M6:M19" si="9">K6+L6</f>
        <v>-56.94</v>
      </c>
      <c r="N6" s="44"/>
      <c r="O6" s="38">
        <f t="shared" ref="O6:O19" si="10">C6+I6</f>
        <v>0</v>
      </c>
      <c r="P6" s="43">
        <v>47.563333333333333</v>
      </c>
      <c r="Q6" s="43">
        <f t="shared" si="3"/>
        <v>0</v>
      </c>
      <c r="S6" s="29">
        <f>MATCH(B6,'saisie achats'!B:B)</f>
        <v>9</v>
      </c>
      <c r="T6" s="46">
        <f>INDEX('saisie achats'!A:K,S6,10)</f>
        <v>47.563333333333333</v>
      </c>
    </row>
    <row r="7" spans="2:20" ht="19.5" customHeight="1" thickBot="1">
      <c r="B7" s="27" t="s">
        <v>42</v>
      </c>
      <c r="C7" s="38">
        <f>SUMIFS('saisie achats'!C:C,'saisie achats'!C:C,"&gt;0",'saisie achats'!B:B,B7)</f>
        <v>10</v>
      </c>
      <c r="D7" s="42">
        <f>(SUMIFS('saisie achats'!E:E,'saisie achats'!C:C,"&gt;0",'saisie achats'!B:B,B7))/C7</f>
        <v>16.369</v>
      </c>
      <c r="E7" s="42">
        <f t="shared" si="4"/>
        <v>163.69</v>
      </c>
      <c r="F7" s="43">
        <f t="shared" si="5"/>
        <v>55</v>
      </c>
      <c r="G7" s="43">
        <f t="shared" si="6"/>
        <v>218.69</v>
      </c>
      <c r="H7" s="44"/>
      <c r="I7" s="38">
        <f>SUMIFS('saisie achats'!C:C,'saisie achats'!C:C,"&lt;0",'saisie achats'!B:B,B7)</f>
        <v>0</v>
      </c>
      <c r="J7" s="42">
        <f>IF(I7=0,0,(SUMIFS('saisie achats'!F:F,'saisie achats'!C:C,"&lt;0",'saisie achats'!B:B,B7))/I7)</f>
        <v>0</v>
      </c>
      <c r="K7" s="42">
        <f t="shared" si="7"/>
        <v>0</v>
      </c>
      <c r="L7" s="43">
        <f t="shared" si="8"/>
        <v>0</v>
      </c>
      <c r="M7" s="43">
        <f t="shared" si="9"/>
        <v>0</v>
      </c>
      <c r="N7" s="44"/>
      <c r="O7" s="38">
        <f t="shared" si="10"/>
        <v>10</v>
      </c>
      <c r="P7" s="43">
        <v>20.22</v>
      </c>
      <c r="Q7" s="43">
        <f t="shared" si="3"/>
        <v>202.2</v>
      </c>
      <c r="S7" s="29">
        <f>MATCH(B7,'saisie achats'!B:B)</f>
        <v>16</v>
      </c>
      <c r="T7" s="46">
        <f>INDEX('saisie achats'!A:K,S7,10)</f>
        <v>20.219000000000001</v>
      </c>
    </row>
    <row r="8" spans="2:20" ht="19.5" customHeight="1" thickBot="1">
      <c r="B8" s="27" t="s">
        <v>43</v>
      </c>
      <c r="C8" s="38">
        <f>SUMIFS('saisie achats'!C:C,'saisie achats'!C:C,"&gt;0",'saisie achats'!B:B,B8)</f>
        <v>3</v>
      </c>
      <c r="D8" s="42">
        <f>(SUMIFS('saisie achats'!E:E,'saisie achats'!C:C,"&gt;0",'saisie achats'!B:B,B8))/C8</f>
        <v>35.616666666666667</v>
      </c>
      <c r="E8" s="42">
        <f t="shared" si="4"/>
        <v>106.85</v>
      </c>
      <c r="F8" s="43">
        <f t="shared" si="5"/>
        <v>16.5</v>
      </c>
      <c r="G8" s="43">
        <f t="shared" si="6"/>
        <v>123.35</v>
      </c>
      <c r="H8" s="44"/>
      <c r="I8" s="38">
        <f>SUMIFS('saisie achats'!C:C,'saisie achats'!C:C,"&lt;0",'saisie achats'!B:B,B8)</f>
        <v>0</v>
      </c>
      <c r="J8" s="42">
        <f>IF(I8=0,0,(SUMIFS('saisie achats'!F:F,'saisie achats'!C:C,"&lt;0",'saisie achats'!B:B,B8))/I8)</f>
        <v>0</v>
      </c>
      <c r="K8" s="42">
        <f t="shared" si="7"/>
        <v>0</v>
      </c>
      <c r="L8" s="43">
        <f t="shared" si="8"/>
        <v>0</v>
      </c>
      <c r="M8" s="43">
        <f t="shared" si="9"/>
        <v>0</v>
      </c>
      <c r="N8" s="44"/>
      <c r="O8" s="38">
        <f t="shared" si="10"/>
        <v>3</v>
      </c>
      <c r="P8" s="43">
        <v>41.12</v>
      </c>
      <c r="Q8" s="43">
        <f t="shared" si="3"/>
        <v>123.35999999999999</v>
      </c>
      <c r="S8" s="29">
        <f>MATCH(B8,'saisie achats'!B:B)</f>
        <v>19</v>
      </c>
      <c r="T8" s="46">
        <f>INDEX('saisie achats'!A:K,S8,10)</f>
        <v>41.116666666666667</v>
      </c>
    </row>
    <row r="9" spans="2:20" ht="19.5" customHeight="1" thickBot="1">
      <c r="B9" s="27" t="s">
        <v>41</v>
      </c>
      <c r="C9" s="38">
        <f>SUMIFS('saisie achats'!C:C,'saisie achats'!C:C,"&gt;0",'saisie achats'!B:B,B9)</f>
        <v>6</v>
      </c>
      <c r="D9" s="42">
        <f>(SUMIFS('saisie achats'!E:E,'saisie achats'!C:C,"&gt;0",'saisie achats'!B:B,B9))/C9</f>
        <v>35.248333333333335</v>
      </c>
      <c r="E9" s="42">
        <f t="shared" si="4"/>
        <v>211.49</v>
      </c>
      <c r="F9" s="43">
        <f t="shared" si="5"/>
        <v>33</v>
      </c>
      <c r="G9" s="43">
        <f t="shared" si="6"/>
        <v>244.49</v>
      </c>
      <c r="H9" s="44"/>
      <c r="I9" s="38">
        <f>SUMIFS('saisie achats'!C:C,'saisie achats'!C:C,"&lt;0",'saisie achats'!B:B,B9)</f>
        <v>0</v>
      </c>
      <c r="J9" s="42">
        <f>IF(I9=0,0,(SUMIFS('saisie achats'!F:F,'saisie achats'!C:C,"&lt;0",'saisie achats'!B:B,B9))/I9)</f>
        <v>0</v>
      </c>
      <c r="K9" s="42">
        <f t="shared" si="7"/>
        <v>0</v>
      </c>
      <c r="L9" s="43">
        <f t="shared" si="8"/>
        <v>0</v>
      </c>
      <c r="M9" s="43">
        <f t="shared" si="9"/>
        <v>0</v>
      </c>
      <c r="N9" s="44"/>
      <c r="O9" s="38">
        <f t="shared" si="10"/>
        <v>6</v>
      </c>
      <c r="P9" s="43">
        <v>40.75</v>
      </c>
      <c r="Q9" s="43">
        <f t="shared" si="3"/>
        <v>244.5</v>
      </c>
      <c r="S9" s="29">
        <f>MATCH(B9,'saisie achats'!B:B)</f>
        <v>25</v>
      </c>
      <c r="T9" s="46">
        <f>INDEX('saisie achats'!A:K,S9,10)</f>
        <v>40.748333333333335</v>
      </c>
    </row>
    <row r="10" spans="2:20" ht="19.5" customHeight="1" thickBot="1">
      <c r="B10" s="27" t="s">
        <v>38</v>
      </c>
      <c r="C10" s="38">
        <f>SUMIFS('saisie achats'!C:C,'saisie achats'!C:C,"&gt;0",'saisie achats'!B:B,B10)</f>
        <v>6</v>
      </c>
      <c r="D10" s="42">
        <f>(SUMIFS('saisie achats'!E:E,'saisie achats'!C:C,"&gt;0",'saisie achats'!B:B,B10))/C10</f>
        <v>9.4498333333333342</v>
      </c>
      <c r="E10" s="42">
        <f t="shared" si="4"/>
        <v>56.699000000000005</v>
      </c>
      <c r="F10" s="43">
        <f t="shared" si="5"/>
        <v>33</v>
      </c>
      <c r="G10" s="43">
        <f t="shared" si="6"/>
        <v>89.699000000000012</v>
      </c>
      <c r="H10" s="44"/>
      <c r="I10" s="38">
        <f>SUMIFS('saisie achats'!C:C,'saisie achats'!C:C,"&lt;0",'saisie achats'!B:B,B10)</f>
        <v>-6</v>
      </c>
      <c r="J10" s="42">
        <f>IF(I10=0,0,(SUMIFS('saisie achats'!F:F,'saisie achats'!C:C,"&lt;0",'saisie achats'!B:B,B10))/I10)</f>
        <v>3.1590000000000003</v>
      </c>
      <c r="K10" s="42">
        <f t="shared" si="7"/>
        <v>-18.954000000000001</v>
      </c>
      <c r="L10" s="43">
        <f t="shared" si="8"/>
        <v>33</v>
      </c>
      <c r="M10" s="43">
        <f t="shared" si="9"/>
        <v>14.045999999999999</v>
      </c>
      <c r="N10" s="44"/>
      <c r="O10" s="38">
        <f t="shared" si="10"/>
        <v>0</v>
      </c>
      <c r="P10" s="43">
        <v>14.949833333333336</v>
      </c>
      <c r="Q10" s="43">
        <f t="shared" si="3"/>
        <v>0</v>
      </c>
      <c r="S10" s="29">
        <f>MATCH(B10,'saisie achats'!B:B)</f>
        <v>32</v>
      </c>
      <c r="T10" s="46">
        <f>INDEX('saisie achats'!A:K,S10,10)</f>
        <v>14.949833333333336</v>
      </c>
    </row>
    <row r="11" spans="2:20" ht="19.5" customHeight="1" thickBot="1">
      <c r="B11" s="27" t="s">
        <v>36</v>
      </c>
      <c r="C11" s="38">
        <f>SUMIFS('saisie achats'!C:C,'saisie achats'!C:C,"&gt;0",'saisie achats'!B:B,B11)</f>
        <v>7</v>
      </c>
      <c r="D11" s="42">
        <f>(SUMIFS('saisie achats'!E:E,'saisie achats'!C:C,"&gt;0",'saisie achats'!B:B,B11))/C11</f>
        <v>43.68</v>
      </c>
      <c r="E11" s="42">
        <f t="shared" si="4"/>
        <v>305.76</v>
      </c>
      <c r="F11" s="43">
        <f t="shared" si="5"/>
        <v>38.5</v>
      </c>
      <c r="G11" s="43">
        <f t="shared" si="6"/>
        <v>344.26</v>
      </c>
      <c r="H11" s="44"/>
      <c r="I11" s="38">
        <f>SUMIFS('saisie achats'!C:C,'saisie achats'!C:C,"&lt;0",'saisie achats'!B:B,B11)</f>
        <v>-3</v>
      </c>
      <c r="J11" s="42">
        <f>IF(I11=0,0,(SUMIFS('saisie achats'!F:F,'saisie achats'!C:C,"&lt;0",'saisie achats'!B:B,B11))/I11)</f>
        <v>56.47</v>
      </c>
      <c r="K11" s="42">
        <f t="shared" si="7"/>
        <v>-169.41</v>
      </c>
      <c r="L11" s="43">
        <f t="shared" si="8"/>
        <v>16.5</v>
      </c>
      <c r="M11" s="43">
        <f t="shared" si="9"/>
        <v>-152.91</v>
      </c>
      <c r="N11" s="44"/>
      <c r="O11" s="38">
        <f t="shared" si="10"/>
        <v>4</v>
      </c>
      <c r="P11" s="43">
        <v>50.24</v>
      </c>
      <c r="Q11" s="43">
        <f t="shared" si="3"/>
        <v>200.96</v>
      </c>
      <c r="S11" s="29">
        <f>MATCH(B11,'saisie achats'!B:B)</f>
        <v>40</v>
      </c>
      <c r="T11" s="46">
        <f>INDEX('saisie achats'!A:K,S11,10)</f>
        <v>50.243749999999999</v>
      </c>
    </row>
    <row r="12" spans="2:20" ht="19.5" customHeight="1" thickBot="1">
      <c r="B12" s="27" t="s">
        <v>25</v>
      </c>
      <c r="C12" s="38">
        <f>SUMIFS('saisie achats'!C:C,'saisie achats'!C:C,"&gt;0",'saisie achats'!B:B,B12)</f>
        <v>5</v>
      </c>
      <c r="D12" s="42">
        <f>(SUMIFS('saisie achats'!E:E,'saisie achats'!C:C,"&gt;0",'saisie achats'!B:B,B12))/C12</f>
        <v>75.546999999999997</v>
      </c>
      <c r="E12" s="42">
        <f t="shared" si="4"/>
        <v>377.73500000000001</v>
      </c>
      <c r="F12" s="43">
        <f t="shared" si="5"/>
        <v>27.5</v>
      </c>
      <c r="G12" s="43">
        <f t="shared" si="6"/>
        <v>405.23500000000001</v>
      </c>
      <c r="H12" s="44"/>
      <c r="I12" s="38">
        <f>SUMIFS('saisie achats'!C:C,'saisie achats'!C:C,"&lt;0",'saisie achats'!B:B,B12)</f>
        <v>-3</v>
      </c>
      <c r="J12" s="42">
        <f>IF(I12=0,0,(SUMIFS('saisie achats'!F:F,'saisie achats'!C:C,"&lt;0",'saisie achats'!B:B,B12))/I12)</f>
        <v>105.09333333333332</v>
      </c>
      <c r="K12" s="42">
        <f t="shared" si="7"/>
        <v>-315.27999999999997</v>
      </c>
      <c r="L12" s="43">
        <f t="shared" si="8"/>
        <v>16.5</v>
      </c>
      <c r="M12" s="43">
        <f t="shared" si="9"/>
        <v>-298.77999999999997</v>
      </c>
      <c r="N12" s="44"/>
      <c r="O12" s="38">
        <f t="shared" si="10"/>
        <v>2</v>
      </c>
      <c r="P12" s="43">
        <v>94.171111111111117</v>
      </c>
      <c r="Q12" s="43">
        <f t="shared" si="3"/>
        <v>188.34222222222223</v>
      </c>
      <c r="S12" s="29">
        <f>MATCH(B12,'saisie achats'!B:B)</f>
        <v>48</v>
      </c>
      <c r="T12" s="46">
        <f>INDEX('saisie achats'!A:K,S12,10)</f>
        <v>94.171111111111117</v>
      </c>
    </row>
    <row r="13" spans="2:20" ht="19.5" customHeight="1" thickBot="1">
      <c r="B13" s="27" t="s">
        <v>37</v>
      </c>
      <c r="C13" s="38">
        <f>SUMIFS('saisie achats'!C:C,'saisie achats'!C:C,"&gt;0",'saisie achats'!B:B,B13)</f>
        <v>6</v>
      </c>
      <c r="D13" s="42">
        <f>(SUMIFS('saisie achats'!E:E,'saisie achats'!C:C,"&gt;0",'saisie achats'!B:B,B13))/C13</f>
        <v>83.741666666666674</v>
      </c>
      <c r="E13" s="42">
        <f t="shared" si="4"/>
        <v>502.45000000000005</v>
      </c>
      <c r="F13" s="43">
        <f t="shared" si="5"/>
        <v>33</v>
      </c>
      <c r="G13" s="43">
        <f t="shared" si="6"/>
        <v>535.45000000000005</v>
      </c>
      <c r="H13" s="44"/>
      <c r="I13" s="38">
        <f>SUMIFS('saisie achats'!C:C,'saisie achats'!C:C,"&lt;0",'saisie achats'!B:B,B13)</f>
        <v>0</v>
      </c>
      <c r="J13" s="42">
        <f>IF(I13=0,0,(SUMIFS('saisie achats'!F:F,'saisie achats'!C:C,"&lt;0",'saisie achats'!B:B,B13))/I13)</f>
        <v>0</v>
      </c>
      <c r="K13" s="42">
        <f t="shared" si="7"/>
        <v>0</v>
      </c>
      <c r="L13" s="43">
        <f t="shared" si="8"/>
        <v>0</v>
      </c>
      <c r="M13" s="43">
        <f t="shared" si="9"/>
        <v>0</v>
      </c>
      <c r="N13" s="44"/>
      <c r="O13" s="38">
        <f t="shared" si="10"/>
        <v>6</v>
      </c>
      <c r="P13" s="43">
        <v>89.24</v>
      </c>
      <c r="Q13" s="43">
        <f t="shared" si="3"/>
        <v>535.43999999999994</v>
      </c>
      <c r="S13" s="29">
        <f>MATCH(B13,'saisie achats'!B:B)</f>
        <v>54</v>
      </c>
      <c r="T13" s="46">
        <f>INDEX('saisie achats'!A:K,S13,10)</f>
        <v>89.241666666666674</v>
      </c>
    </row>
    <row r="14" spans="2:20" ht="19.5" customHeight="1" thickBot="1">
      <c r="B14" s="27" t="s">
        <v>40</v>
      </c>
      <c r="C14" s="38">
        <f>SUMIFS('saisie achats'!C:C,'saisie achats'!C:C,"&gt;0",'saisie achats'!B:B,B14)</f>
        <v>2</v>
      </c>
      <c r="D14" s="42">
        <f>(SUMIFS('saisie achats'!E:E,'saisie achats'!C:C,"&gt;0",'saisie achats'!B:B,B14))/C14</f>
        <v>75.650000000000006</v>
      </c>
      <c r="E14" s="42">
        <f t="shared" si="4"/>
        <v>151.30000000000001</v>
      </c>
      <c r="F14" s="43">
        <f t="shared" si="5"/>
        <v>11</v>
      </c>
      <c r="G14" s="43">
        <f t="shared" si="6"/>
        <v>162.30000000000001</v>
      </c>
      <c r="H14" s="44"/>
      <c r="I14" s="38">
        <f>SUMIFS('saisie achats'!C:C,'saisie achats'!C:C,"&lt;0",'saisie achats'!B:B,B14)</f>
        <v>-2</v>
      </c>
      <c r="J14" s="42">
        <f>IF(I14=0,0,(SUMIFS('saisie achats'!F:F,'saisie achats'!C:C,"&lt;0",'saisie achats'!B:B,B14))/I14)</f>
        <v>64.97</v>
      </c>
      <c r="K14" s="42">
        <f t="shared" si="7"/>
        <v>-129.94</v>
      </c>
      <c r="L14" s="43">
        <f t="shared" si="8"/>
        <v>11</v>
      </c>
      <c r="M14" s="43">
        <f t="shared" si="9"/>
        <v>-118.94</v>
      </c>
      <c r="N14" s="44"/>
      <c r="O14" s="38">
        <f t="shared" si="10"/>
        <v>0</v>
      </c>
      <c r="P14" s="43">
        <v>78.400000000000006</v>
      </c>
      <c r="Q14" s="43">
        <f t="shared" si="3"/>
        <v>0</v>
      </c>
      <c r="S14" s="29">
        <f>MATCH(B14,'saisie achats'!B:B)</f>
        <v>56</v>
      </c>
      <c r="T14" s="46">
        <f>INDEX('saisie achats'!A:K,S14,10)</f>
        <v>78.400000000000006</v>
      </c>
    </row>
    <row r="15" spans="2:20" ht="19.5" customHeight="1" thickBot="1">
      <c r="B15" s="27" t="s">
        <v>45</v>
      </c>
      <c r="C15" s="38">
        <f>SUMIFS('saisie achats'!C:C,'saisie achats'!C:C,"&gt;0",'saisie achats'!B:B,B15)</f>
        <v>3</v>
      </c>
      <c r="D15" s="42">
        <f>(SUMIFS('saisie achats'!E:E,'saisie achats'!C:C,"&gt;0",'saisie achats'!B:B,B15))/C15</f>
        <v>74.515000000000001</v>
      </c>
      <c r="E15" s="42">
        <f t="shared" si="4"/>
        <v>223.54500000000002</v>
      </c>
      <c r="F15" s="43">
        <f t="shared" si="5"/>
        <v>16.5</v>
      </c>
      <c r="G15" s="43">
        <f t="shared" si="6"/>
        <v>240.04500000000002</v>
      </c>
      <c r="H15" s="44"/>
      <c r="I15" s="38">
        <f>SUMIFS('saisie achats'!C:C,'saisie achats'!C:C,"&lt;0",'saisie achats'!B:B,B15)</f>
        <v>-3</v>
      </c>
      <c r="J15" s="42">
        <f>IF(I15=0,0,(SUMIFS('saisie achats'!F:F,'saisie achats'!C:C,"&lt;0",'saisie achats'!B:B,B15))/I15)</f>
        <v>99.423333333333332</v>
      </c>
      <c r="K15" s="42">
        <f t="shared" si="7"/>
        <v>-298.27</v>
      </c>
      <c r="L15" s="43">
        <f t="shared" si="8"/>
        <v>16.5</v>
      </c>
      <c r="M15" s="43">
        <f t="shared" si="9"/>
        <v>-281.77</v>
      </c>
      <c r="N15" s="44"/>
      <c r="O15" s="38">
        <f t="shared" si="10"/>
        <v>0</v>
      </c>
      <c r="P15" s="23">
        <v>164.05250000000001</v>
      </c>
      <c r="Q15" s="43">
        <f t="shared" si="3"/>
        <v>0</v>
      </c>
      <c r="S15" s="29">
        <f>MATCH(B15,'saisie achats'!B:B)</f>
        <v>61</v>
      </c>
      <c r="T15" s="46">
        <f>INDEX('saisie achats'!A:K,S15,10)</f>
        <v>164.05250000000001</v>
      </c>
    </row>
    <row r="16" spans="2:20" ht="19.5" customHeight="1" thickBot="1">
      <c r="B16" s="27" t="s">
        <v>35</v>
      </c>
      <c r="C16" s="38">
        <f>SUMIFS('saisie achats'!C:C,'saisie achats'!C:C,"&gt;0",'saisie achats'!B:B,B16)</f>
        <v>10</v>
      </c>
      <c r="D16" s="42">
        <f>(SUMIFS('saisie achats'!E:E,'saisie achats'!C:C,"&gt;0",'saisie achats'!B:B,B16))/C16</f>
        <v>46.676999999999992</v>
      </c>
      <c r="E16" s="42">
        <f t="shared" si="4"/>
        <v>466.76999999999992</v>
      </c>
      <c r="F16" s="43">
        <f t="shared" si="5"/>
        <v>55</v>
      </c>
      <c r="G16" s="43">
        <f t="shared" si="6"/>
        <v>521.77</v>
      </c>
      <c r="H16" s="44"/>
      <c r="I16" s="38">
        <f>SUMIFS('saisie achats'!C:C,'saisie achats'!C:C,"&lt;0",'saisie achats'!B:B,B16)</f>
        <v>0</v>
      </c>
      <c r="J16" s="42">
        <f>IF(I16=0,0,(SUMIFS('saisie achats'!F:F,'saisie achats'!C:C,"&lt;0",'saisie achats'!B:B,B16))/I16)</f>
        <v>0</v>
      </c>
      <c r="K16" s="42">
        <f t="shared" si="7"/>
        <v>0</v>
      </c>
      <c r="L16" s="43">
        <f t="shared" si="8"/>
        <v>0</v>
      </c>
      <c r="M16" s="43">
        <f t="shared" si="9"/>
        <v>0</v>
      </c>
      <c r="N16" s="44"/>
      <c r="O16" s="38">
        <f t="shared" si="10"/>
        <v>10</v>
      </c>
      <c r="P16" s="43">
        <v>50.53</v>
      </c>
      <c r="Q16" s="43">
        <f t="shared" si="3"/>
        <v>505.3</v>
      </c>
      <c r="S16" s="29">
        <f>MATCH(B16,'saisie achats'!B:B)</f>
        <v>68</v>
      </c>
      <c r="T16" s="46">
        <f>INDEX('saisie achats'!A:K,S16,10)</f>
        <v>50.526999999999994</v>
      </c>
    </row>
    <row r="17" spans="2:20" ht="19.5" customHeight="1" thickBot="1">
      <c r="B17" s="27" t="s">
        <v>34</v>
      </c>
      <c r="C17" s="38">
        <f>SUMIFS('saisie achats'!C:C,'saisie achats'!C:C,"&gt;0",'saisie achats'!B:B,B17)</f>
        <v>9</v>
      </c>
      <c r="D17" s="42">
        <f>(SUMIFS('saisie achats'!E:E,'saisie achats'!C:C,"&gt;0",'saisie achats'!B:B,B17))/C17</f>
        <v>6.9577777777777774</v>
      </c>
      <c r="E17" s="42">
        <f t="shared" si="4"/>
        <v>62.62</v>
      </c>
      <c r="F17" s="43">
        <f t="shared" si="5"/>
        <v>49.5</v>
      </c>
      <c r="G17" s="43">
        <f t="shared" si="6"/>
        <v>112.12</v>
      </c>
      <c r="H17" s="44"/>
      <c r="I17" s="38">
        <f>SUMIFS('saisie achats'!C:C,'saisie achats'!C:C,"&lt;0",'saisie achats'!B:B,B17)</f>
        <v>0</v>
      </c>
      <c r="J17" s="42">
        <f>IF(I17=0,0,(SUMIFS('saisie achats'!F:F,'saisie achats'!C:C,"&lt;0",'saisie achats'!B:B,B17))/I17)</f>
        <v>0</v>
      </c>
      <c r="K17" s="42">
        <f t="shared" si="7"/>
        <v>0</v>
      </c>
      <c r="L17" s="43">
        <f t="shared" si="8"/>
        <v>0</v>
      </c>
      <c r="M17" s="43">
        <f t="shared" si="9"/>
        <v>0</v>
      </c>
      <c r="N17" s="44"/>
      <c r="O17" s="38">
        <f t="shared" si="10"/>
        <v>9</v>
      </c>
      <c r="P17" s="43">
        <v>10.62</v>
      </c>
      <c r="Q17" s="43">
        <f t="shared" si="3"/>
        <v>95.58</v>
      </c>
      <c r="S17" s="29">
        <f>MATCH(B17,'saisie achats'!B:B)</f>
        <v>74</v>
      </c>
      <c r="T17" s="46">
        <f>INDEX('saisie achats'!A:K,S17,10)</f>
        <v>10.624444444444443</v>
      </c>
    </row>
    <row r="18" spans="2:20" ht="19.5" customHeight="1" thickBot="1">
      <c r="B18" s="27" t="s">
        <v>44</v>
      </c>
      <c r="C18" s="38">
        <f>SUMIFS('saisie achats'!C:C,'saisie achats'!C:C,"&gt;0",'saisie achats'!B:B,B18)</f>
        <v>15</v>
      </c>
      <c r="D18" s="42">
        <f>(SUMIFS('saisie achats'!E:E,'saisie achats'!C:C,"&gt;0",'saisie achats'!B:B,B18))/C18</f>
        <v>41.933999999999997</v>
      </c>
      <c r="E18" s="42">
        <f t="shared" si="4"/>
        <v>629.01</v>
      </c>
      <c r="F18" s="43">
        <f t="shared" si="5"/>
        <v>82.5</v>
      </c>
      <c r="G18" s="43">
        <f t="shared" si="6"/>
        <v>711.51</v>
      </c>
      <c r="H18" s="44"/>
      <c r="I18" s="38">
        <f>SUMIFS('saisie achats'!C:C,'saisie achats'!C:C,"&lt;0",'saisie achats'!B:B,B18)</f>
        <v>0</v>
      </c>
      <c r="J18" s="42">
        <f>IF(I18=0,0,(SUMIFS('saisie achats'!F:F,'saisie achats'!C:C,"&lt;0",'saisie achats'!B:B,B18))/I18)</f>
        <v>0</v>
      </c>
      <c r="K18" s="42">
        <f t="shared" si="7"/>
        <v>0</v>
      </c>
      <c r="L18" s="43">
        <f t="shared" si="8"/>
        <v>0</v>
      </c>
      <c r="M18" s="43">
        <f t="shared" si="9"/>
        <v>0</v>
      </c>
      <c r="N18" s="44"/>
      <c r="O18" s="38">
        <f t="shared" si="10"/>
        <v>15</v>
      </c>
      <c r="P18" s="43">
        <v>45.6</v>
      </c>
      <c r="Q18" s="43">
        <f t="shared" si="3"/>
        <v>684</v>
      </c>
      <c r="S18" s="29">
        <f>MATCH(B18,'saisie achats'!B:B)</f>
        <v>84</v>
      </c>
      <c r="T18" s="46">
        <f>INDEX('saisie achats'!A:K,S18,10)</f>
        <v>45.600666666666676</v>
      </c>
    </row>
    <row r="19" spans="2:20" ht="19.5" customHeight="1" thickBot="1">
      <c r="B19" s="27" t="s">
        <v>39</v>
      </c>
      <c r="C19" s="38">
        <f>SUMIFS('saisie achats'!C:C,'saisie achats'!C:C,"&gt;0",'saisie achats'!B:B,B19)</f>
        <v>8</v>
      </c>
      <c r="D19" s="42">
        <f>(SUMIFS('saisie achats'!E:E,'saisie achats'!C:C,"&gt;0",'saisie achats'!B:B,B19))/C19</f>
        <v>22.438749999999999</v>
      </c>
      <c r="E19" s="42">
        <f t="shared" si="4"/>
        <v>179.51</v>
      </c>
      <c r="F19" s="43">
        <f t="shared" si="5"/>
        <v>44</v>
      </c>
      <c r="G19" s="43">
        <f t="shared" si="6"/>
        <v>223.51</v>
      </c>
      <c r="H19" s="44"/>
      <c r="I19" s="38">
        <f>SUMIFS('saisie achats'!C:C,'saisie achats'!C:C,"&lt;0",'saisie achats'!B:B,B19)</f>
        <v>0</v>
      </c>
      <c r="J19" s="42">
        <f>IF(I19=0,0,(SUMIFS('saisie achats'!F:F,'saisie achats'!C:C,"&lt;0",'saisie achats'!B:B,B19))/I19)</f>
        <v>0</v>
      </c>
      <c r="K19" s="42">
        <f t="shared" si="7"/>
        <v>0</v>
      </c>
      <c r="L19" s="43">
        <f t="shared" si="8"/>
        <v>0</v>
      </c>
      <c r="M19" s="43">
        <f t="shared" si="9"/>
        <v>0</v>
      </c>
      <c r="N19" s="44"/>
      <c r="O19" s="38">
        <f t="shared" si="10"/>
        <v>8</v>
      </c>
      <c r="P19" s="43">
        <v>26.563749999999999</v>
      </c>
      <c r="Q19" s="43">
        <f t="shared" si="3"/>
        <v>212.51</v>
      </c>
      <c r="S19" s="29">
        <f>MATCH(B19,'saisie achats'!B:B)</f>
        <v>90</v>
      </c>
      <c r="T19" s="46">
        <f>INDEX('saisie achats'!A:K,S19,10)</f>
        <v>26.563749999999999</v>
      </c>
    </row>
    <row r="20" spans="2:20" ht="14.25" customHeight="1"/>
    <row r="21" spans="2:20" ht="14.25" customHeight="1"/>
    <row r="22" spans="2:20" ht="14.25" customHeight="1"/>
    <row r="23" spans="2:20" ht="14.25" customHeight="1"/>
    <row r="24" spans="2:20" ht="14.25" customHeight="1"/>
    <row r="25" spans="2:20" ht="14.25" customHeight="1"/>
    <row r="26" spans="2:20" ht="14.25" customHeight="1"/>
    <row r="27" spans="2:20" ht="14.25" customHeight="1"/>
    <row r="28" spans="2:20" ht="14.25" customHeight="1"/>
    <row r="29" spans="2:20" ht="14.25" customHeight="1"/>
    <row r="30" spans="2:20" ht="14.25" customHeight="1"/>
    <row r="31" spans="2:20" ht="14.25" customHeight="1"/>
    <row r="32" spans="2:20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</sheetData>
  <mergeCells count="2">
    <mergeCell ref="C2:G2"/>
    <mergeCell ref="I2:M2"/>
  </mergeCells>
  <conditionalFormatting sqref="O5:O19 C3 I3 O3 K3 C5:C19 I5:I19">
    <cfRule type="cellIs" dxfId="1" priority="3" operator="lessThan">
      <formula>0</formula>
    </cfRule>
  </conditionalFormatting>
  <conditionalFormatting sqref="O5:O19 C3 I3 O3 C5:C19 I5:I19">
    <cfRule type="cellIs" dxfId="0" priority="2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bourso</vt:lpstr>
      <vt:lpstr>saisie achats</vt:lpstr>
      <vt:lpstr>p revient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sdjedje</dc:creator>
  <cp:lastModifiedBy>LABBE</cp:lastModifiedBy>
  <cp:lastPrinted>2011-03-03T13:40:35Z</cp:lastPrinted>
  <dcterms:created xsi:type="dcterms:W3CDTF">2011-03-03T10:06:25Z</dcterms:created>
  <dcterms:modified xsi:type="dcterms:W3CDTF">2011-08-23T07:45:58Z</dcterms:modified>
</cp:coreProperties>
</file>