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filterPrivacy="1"/>
  <xr:revisionPtr revIDLastSave="1029" documentId="13_ncr:1_{9BE46758-AE1C-4896-BF39-F7054A0798B3}" xr6:coauthVersionLast="47" xr6:coauthVersionMax="47" xr10:uidLastSave="{54983FA6-9457-4EDD-97F0-B04D29A83190}"/>
  <bookViews>
    <workbookView xWindow="-108" yWindow="-108" windowWidth="23256" windowHeight="12456" xr2:uid="{00000000-000D-0000-FFFF-FFFF00000000}"/>
  </bookViews>
  <sheets>
    <sheet name="Projets" sheetId="1" r:id="rId1"/>
    <sheet name="Statistiques" sheetId="4" r:id="rId2"/>
  </sheets>
  <definedNames>
    <definedName name="Segment_Statut_du_dev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9" i="4" l="1" a="1"/>
  <c r="G39" i="4" s="1"/>
  <c r="J39" i="4" a="1"/>
  <c r="J39" i="4" s="1"/>
  <c r="N21" i="1"/>
  <c r="N22" i="1"/>
  <c r="N23" i="1"/>
  <c r="N24" i="1"/>
  <c r="N25" i="1"/>
  <c r="N26" i="1"/>
  <c r="N10" i="1"/>
  <c r="N11" i="1"/>
  <c r="N12" i="1"/>
  <c r="N13" i="1"/>
  <c r="N14" i="1"/>
  <c r="N15" i="1"/>
  <c r="N16" i="1"/>
  <c r="N17" i="1"/>
  <c r="N18" i="1"/>
  <c r="N19" i="1"/>
  <c r="N20" i="1"/>
  <c r="N9" i="1"/>
  <c r="B9" i="1"/>
  <c r="A7" i="1"/>
  <c r="D39" i="4" a="1"/>
  <c r="D39" i="4" s="1"/>
  <c r="C36" i="4" l="1"/>
  <c r="D36" i="4"/>
  <c r="E36" i="4"/>
  <c r="F36" i="4"/>
  <c r="G36" i="4"/>
  <c r="B36" i="4"/>
  <c r="C34" i="4"/>
  <c r="D34" i="4"/>
  <c r="E34" i="4"/>
  <c r="F34" i="4"/>
  <c r="G34" i="4"/>
  <c r="B34" i="4"/>
  <c r="C32" i="4"/>
  <c r="D32" i="4"/>
  <c r="E32" i="4"/>
  <c r="F32" i="4"/>
  <c r="G32" i="4"/>
  <c r="B32" i="4"/>
  <c r="C30" i="4"/>
  <c r="D30" i="4"/>
  <c r="E30" i="4"/>
  <c r="F30" i="4"/>
  <c r="G30" i="4"/>
  <c r="B30" i="4"/>
  <c r="B16" i="1"/>
  <c r="B17" i="1"/>
  <c r="B18" i="1"/>
  <c r="B19" i="1"/>
  <c r="B20" i="1"/>
  <c r="B21" i="1"/>
  <c r="B22" i="1"/>
  <c r="B23" i="1"/>
  <c r="B24" i="1"/>
  <c r="B25" i="1"/>
  <c r="C23" i="4"/>
  <c r="D23" i="4"/>
  <c r="E23" i="4"/>
  <c r="F23" i="4"/>
  <c r="G23" i="4"/>
  <c r="C24" i="4"/>
  <c r="D24" i="4"/>
  <c r="E24" i="4"/>
  <c r="F24" i="4"/>
  <c r="G24" i="4"/>
  <c r="C25" i="4"/>
  <c r="D25" i="4"/>
  <c r="E25" i="4"/>
  <c r="F25" i="4"/>
  <c r="G25" i="4"/>
  <c r="C26" i="4"/>
  <c r="D26" i="4"/>
  <c r="E26" i="4"/>
  <c r="F26" i="4"/>
  <c r="G26" i="4"/>
  <c r="B26" i="4"/>
  <c r="B25" i="4"/>
  <c r="B24" i="4"/>
  <c r="B23" i="4"/>
  <c r="F37" i="4" l="1"/>
  <c r="G33" i="4"/>
  <c r="E33" i="4"/>
  <c r="D35" i="4"/>
  <c r="C35" i="4"/>
  <c r="G37" i="4"/>
  <c r="E37" i="4"/>
  <c r="D37" i="4"/>
  <c r="F33" i="4"/>
  <c r="C37" i="4"/>
  <c r="D33" i="4"/>
  <c r="C33" i="4"/>
  <c r="G35" i="4"/>
  <c r="F35" i="4"/>
  <c r="E35" i="4"/>
  <c r="B9" i="4"/>
  <c r="D11" i="4"/>
  <c r="F9" i="4"/>
  <c r="G12" i="4"/>
  <c r="C11" i="4"/>
  <c r="E9" i="4"/>
  <c r="E12" i="4"/>
  <c r="G10" i="4"/>
  <c r="D9" i="4"/>
  <c r="F12" i="4"/>
  <c r="F10" i="4"/>
  <c r="C9" i="4"/>
  <c r="D12" i="4"/>
  <c r="E10" i="4"/>
  <c r="G11" i="4"/>
  <c r="D10" i="4"/>
  <c r="C12" i="4"/>
  <c r="B11" i="4"/>
  <c r="F11" i="4"/>
  <c r="C10" i="4"/>
  <c r="B10" i="4"/>
  <c r="B12" i="4"/>
  <c r="E11" i="4"/>
  <c r="G9" i="4"/>
  <c r="F27" i="4"/>
  <c r="E27" i="4"/>
  <c r="C27" i="4"/>
  <c r="D27" i="4"/>
  <c r="B27" i="4"/>
  <c r="G27" i="4"/>
  <c r="E31" i="4"/>
  <c r="D31" i="4"/>
  <c r="C31" i="4"/>
  <c r="B15" i="1" l="1"/>
  <c r="G14" i="4" l="1" a="1"/>
  <c r="G14" i="4" s="1"/>
  <c r="E14" i="4" a="1"/>
  <c r="E14" i="4" s="1"/>
  <c r="C14" i="4" a="1"/>
  <c r="C14" i="4" s="1"/>
  <c r="E2" i="1"/>
  <c r="C4" i="4"/>
  <c r="D4" i="4"/>
  <c r="E4" i="4"/>
  <c r="F4" i="4"/>
  <c r="G4" i="4"/>
  <c r="C5" i="4"/>
  <c r="D5" i="4"/>
  <c r="E5" i="4"/>
  <c r="F5" i="4"/>
  <c r="G5" i="4"/>
  <c r="B5" i="4"/>
  <c r="B4" i="4"/>
  <c r="C3" i="4"/>
  <c r="D3" i="4"/>
  <c r="E3" i="4"/>
  <c r="F3" i="4"/>
  <c r="G3" i="4"/>
  <c r="B3" i="4"/>
  <c r="C2" i="4"/>
  <c r="D2" i="4"/>
  <c r="E2" i="4"/>
  <c r="F2" i="4"/>
  <c r="G2" i="4"/>
  <c r="B2" i="4"/>
  <c r="C20" i="4"/>
  <c r="D20" i="4"/>
  <c r="E20" i="4"/>
  <c r="F20" i="4"/>
  <c r="G20" i="4"/>
  <c r="B20" i="4"/>
  <c r="C19" i="4"/>
  <c r="D19" i="4"/>
  <c r="E19" i="4"/>
  <c r="F19" i="4"/>
  <c r="G19" i="4"/>
  <c r="B19" i="4"/>
  <c r="C18" i="4"/>
  <c r="D18" i="4"/>
  <c r="E18" i="4"/>
  <c r="F18" i="4"/>
  <c r="G18" i="4"/>
  <c r="B18" i="4"/>
  <c r="C17" i="4"/>
  <c r="D17" i="4"/>
  <c r="E17" i="4"/>
  <c r="F17" i="4"/>
  <c r="G17" i="4"/>
  <c r="B17" i="4"/>
  <c r="B12" i="1"/>
  <c r="B13" i="1"/>
  <c r="B14" i="1"/>
  <c r="B6" i="4" l="1"/>
  <c r="B10" i="1"/>
  <c r="B11" i="1"/>
  <c r="E5" i="1" l="1"/>
  <c r="E4" i="1"/>
  <c r="E3" i="1"/>
  <c r="E6" i="1" l="1"/>
  <c r="D3" i="1"/>
  <c r="D4" i="1"/>
  <c r="A39" i="4" s="1" a="1"/>
  <c r="A39" i="4" s="1"/>
  <c r="D5" i="1"/>
  <c r="D2" i="1"/>
  <c r="B35" i="4"/>
  <c r="B33" i="4"/>
  <c r="B31" i="4"/>
  <c r="B37" i="4"/>
  <c r="F31" i="4" l="1"/>
  <c r="G31" i="4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<sst xmlns="http://schemas.openxmlformats.org/spreadsheetml/2006/main" count="120" uniqueCount="50">
  <si>
    <t>Date du devis</t>
  </si>
  <si>
    <t>Nom du Client</t>
  </si>
  <si>
    <t>n° de téléphone</t>
  </si>
  <si>
    <t>Commentaire</t>
  </si>
  <si>
    <t>Date limite de relance</t>
  </si>
  <si>
    <t>SI([@[Date du devis]]&gt;0;[@[Date du devis]]+7;"")</t>
  </si>
  <si>
    <t>e-mail</t>
  </si>
  <si>
    <t>Projet</t>
  </si>
  <si>
    <t>Converti</t>
  </si>
  <si>
    <t>Non-converti</t>
  </si>
  <si>
    <t>Émis</t>
  </si>
  <si>
    <t>Statut du devis</t>
  </si>
  <si>
    <t>Suivi</t>
  </si>
  <si>
    <t>Devis</t>
  </si>
  <si>
    <t>2026</t>
  </si>
  <si>
    <t>2025</t>
  </si>
  <si>
    <t>2027</t>
  </si>
  <si>
    <t>2028</t>
  </si>
  <si>
    <t>2029</t>
  </si>
  <si>
    <t>2030</t>
  </si>
  <si>
    <t>Voie</t>
  </si>
  <si>
    <t>Code postal</t>
  </si>
  <si>
    <t>Ville</t>
  </si>
  <si>
    <t>Panier moyen</t>
  </si>
  <si>
    <t>Nombre</t>
  </si>
  <si>
    <t>Date de vente</t>
  </si>
  <si>
    <t>Mois</t>
  </si>
  <si>
    <t>Taux de conversion</t>
  </si>
  <si>
    <t>Temps de conversion</t>
  </si>
  <si>
    <t>Semaine</t>
  </si>
  <si>
    <t>Jour</t>
  </si>
  <si>
    <t>Strasbourg</t>
  </si>
  <si>
    <t>&gt;20 000 / &lt;30 000</t>
  </si>
  <si>
    <t>Gamme de prix</t>
  </si>
  <si>
    <t>&gt;30 000 / &lt;40 000</t>
  </si>
  <si>
    <t>&gt;40 000 / &lt;50 000</t>
  </si>
  <si>
    <t>&gt;50 000 / &lt;60 000</t>
  </si>
  <si>
    <t>Proportion</t>
  </si>
  <si>
    <t>Total</t>
  </si>
  <si>
    <t>Mois en texte</t>
  </si>
  <si>
    <t>Taille</t>
  </si>
  <si>
    <t>Paris</t>
  </si>
  <si>
    <t>Lyon</t>
  </si>
  <si>
    <t>Marseille</t>
  </si>
  <si>
    <t>Toulon</t>
  </si>
  <si>
    <t>Bordeaux</t>
  </si>
  <si>
    <t>Lille</t>
  </si>
  <si>
    <t>Nancy</t>
  </si>
  <si>
    <t>Metz</t>
  </si>
  <si>
    <t>Brest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</si>
</sst>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d\ mmmm\ yyyy;@"/>
    <numFmt numFmtId="165" formatCode="0\-0000\-0000\-0000"/>
    <numFmt numFmtId="166" formatCode="00\.00\.00\.00\.00"/>
    <numFmt numFmtId="167" formatCode="#,##0.00\ &quot;€&quot;"/>
  </numFmts>
  <fonts count="9">
    <font>
      <sz val="11"/>
      <color theme="1"/>
      <name val="Calibri"/>
      <family val="2"/>
      <scheme val="minor"/>
    </font>
    <font>
      <sz val="12"/>
      <color theme="1"/>
      <name val="Bahnschrift"/>
      <family val="2"/>
    </font>
    <font>
      <b/>
      <sz val="12"/>
      <color theme="0"/>
      <name val="Bahnschrift"/>
      <family val="2"/>
    </font>
    <font>
      <sz val="12"/>
      <color theme="0"/>
      <name val="Bahnschrift"/>
      <family val="2"/>
    </font>
    <font>
      <sz val="11"/>
      <color theme="1"/>
      <name val="Bahnschrift"/>
      <family val="2"/>
    </font>
    <font>
      <sz val="8"/>
      <name val="Calibri"/>
      <family val="2"/>
      <scheme val="minor"/>
    </font>
    <font>
      <b/>
      <sz val="12"/>
      <color rgb="FFC00000"/>
      <name val="Bahnschrift"/>
      <family val="2"/>
    </font>
    <font>
      <b/>
      <sz val="13"/>
      <color rgb="FFFF0000"/>
      <name val="Bahnschrift"/>
      <family val="2"/>
    </font>
    <font>
      <sz val="13"/>
      <color rgb="FFFF0000"/>
      <name val="Bahnschrift"/>
      <family val="2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/>
      </bottom>
      <diagonal/>
    </border>
  </borders>
  <cellStyleXfs count="1">
    <xf numFmtId="0" fontId="0" fillId="0" borderId="0"/>
  </cellStyleXfs>
  <cellXfs count="49">
    <xf numFmtId="0" fontId="0" fillId="0" borderId="0" xfId="0"/>
    <xf numFmtId="164" fontId="3" fillId="6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 wrapText="1"/>
    </xf>
    <xf numFmtId="166" fontId="2" fillId="4" borderId="1" xfId="0" applyNumberFormat="1" applyFont="1" applyFill="1" applyBorder="1" applyAlignment="1">
      <alignment horizontal="center" vertical="top" wrapText="1"/>
    </xf>
    <xf numFmtId="164" fontId="1" fillId="6" borderId="1" xfId="0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1" fillId="5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6" fontId="1" fillId="0" borderId="1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7" fontId="1" fillId="0" borderId="1" xfId="0" applyNumberFormat="1" applyFont="1" applyBorder="1" applyAlignment="1">
      <alignment horizontal="center" vertical="center" wrapText="1"/>
    </xf>
    <xf numFmtId="167" fontId="1" fillId="6" borderId="1" xfId="0" applyNumberFormat="1" applyFont="1" applyFill="1" applyBorder="1" applyAlignment="1">
      <alignment horizontal="center" vertical="center" wrapText="1"/>
    </xf>
    <xf numFmtId="167" fontId="2" fillId="4" borderId="1" xfId="0" applyNumberFormat="1" applyFon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6" borderId="1" xfId="0" applyNumberFormat="1" applyFont="1" applyFill="1" applyBorder="1" applyAlignment="1">
      <alignment horizontal="center" vertical="center" wrapText="1"/>
    </xf>
    <xf numFmtId="167" fontId="1" fillId="0" borderId="2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7" fontId="4" fillId="0" borderId="0" xfId="0" applyNumberFormat="1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6" fontId="1" fillId="0" borderId="4" xfId="0" applyNumberFormat="1" applyFont="1" applyBorder="1" applyAlignment="1">
      <alignment horizontal="center" vertical="center" wrapText="1"/>
    </xf>
    <xf numFmtId="165" fontId="1" fillId="0" borderId="4" xfId="0" applyNumberFormat="1" applyFont="1" applyBorder="1" applyAlignment="1">
      <alignment horizontal="center" vertical="center" wrapText="1"/>
    </xf>
    <xf numFmtId="167" fontId="1" fillId="0" borderId="4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0" fontId="4" fillId="0" borderId="0" xfId="0" applyNumberFormat="1" applyFont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" fontId="4" fillId="0" borderId="8" xfId="0" applyNumberFormat="1" applyFont="1" applyBorder="1" applyAlignment="1">
      <alignment horizontal="center" vertical="center" wrapText="1"/>
    </xf>
    <xf numFmtId="1" fontId="1" fillId="6" borderId="8" xfId="0" applyNumberFormat="1" applyFont="1" applyFill="1" applyBorder="1" applyAlignment="1">
      <alignment horizontal="center" vertical="center" wrapText="1"/>
    </xf>
    <xf numFmtId="1" fontId="1" fillId="0" borderId="8" xfId="0" applyNumberFormat="1" applyFont="1" applyBorder="1" applyAlignment="1">
      <alignment horizontal="center" vertical="center" wrapText="1"/>
    </xf>
    <xf numFmtId="1" fontId="1" fillId="6" borderId="1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center" vertical="center" wrapText="1"/>
    </xf>
    <xf numFmtId="167" fontId="7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3" fontId="1" fillId="0" borderId="4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8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numFmt numFmtId="3" formatCode="#,##0"/>
      <alignment horizontal="center" vertical="center" textRotation="0" wrapText="1" indent="0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/>
        <vertical/>
        <horizontal/>
      </border>
    </dxf>
    <dxf>
      <numFmt numFmtId="168" formatCode=";;;"/>
    </dxf>
    <dxf>
      <numFmt numFmtId="168" formatCode=";;;"/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/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numFmt numFmtId="164" formatCode="[$-40C]d\ mmmm\ yyyy;@"/>
      <alignment horizontal="center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/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numFmt numFmtId="164" formatCode="[$-40C]d\ mmmm\ yyyy;@"/>
      <alignment horizontal="center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numFmt numFmtId="165" formatCode="0\-0000\-0000\-0000"/>
      <alignment horizontal="center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numFmt numFmtId="166" formatCode="00\.00\.00\.00\.00"/>
      <alignment horizontal="center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numFmt numFmtId="164" formatCode="[$-40C]d\ mmmm\ yyyy;@"/>
      <alignment horizontal="center" vertical="center" textRotation="0" wrapText="1" indent="0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numFmt numFmtId="164" formatCode="[$-40C]d\ mmmm\ yyyy;@"/>
      <alignment horizontal="center" vertical="center" textRotation="0" wrapText="1" indent="0" justifyLastLine="0" shrinkToFit="0" readingOrder="0"/>
      <border diagonalUp="0" diagonalDown="0">
        <left/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</border>
    </dxf>
    <dxf>
      <border>
        <top style="thin">
          <color auto="1"/>
        </top>
      </border>
    </dxf>
    <dxf>
      <border>
        <bottom style="thin">
          <color theme="0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0" tint="-4.9989318521683403E-2"/>
        </left>
        <right style="thin">
          <color theme="0" tint="-4.9989318521683403E-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4" formatCode="0.00%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numFmt numFmtId="167" formatCode="#,##0.00\ &quot;€&quot;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ahnschrift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D7BA0F"/>
      <color rgb="FFCCCCFF"/>
      <color rgb="FFFF00FF"/>
      <color rgb="FF8C46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 b="1">
                <a:latin typeface="Bahnschrift" panose="020B0502040204020203" pitchFamily="34" charset="0"/>
              </a:rPr>
              <a:t>Convertion</a:t>
            </a:r>
            <a:r>
              <a:rPr lang="fr-FR" sz="1600" b="1" baseline="0">
                <a:latin typeface="Bahnschrift" panose="020B0502040204020203" pitchFamily="34" charset="0"/>
              </a:rPr>
              <a:t> devis</a:t>
            </a:r>
            <a:endParaRPr lang="fr-FR" sz="1600" b="1">
              <a:latin typeface="Bahnschrift" panose="020B0502040204020203" pitchFamily="34" charset="0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Statistiques!$A$23</c:f>
              <c:strCache>
                <c:ptCount val="1"/>
                <c:pt idx="0">
                  <c:v>Émis</c:v>
                </c:pt>
              </c:strCache>
            </c:strRef>
          </c:tx>
          <c:spPr>
            <a:ln w="28575" cap="rnd">
              <a:solidFill>
                <a:schemeClr val="bg1">
                  <a:lumMod val="75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Statistiques!$B$22:$G$22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Statistiques!$B$23:$G$23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4DD-4B69-92A9-613D22600F58}"/>
            </c:ext>
          </c:extLst>
        </c:ser>
        <c:ser>
          <c:idx val="1"/>
          <c:order val="1"/>
          <c:tx>
            <c:strRef>
              <c:f>Statistiques!$A$24</c:f>
              <c:strCache>
                <c:ptCount val="1"/>
                <c:pt idx="0">
                  <c:v>Suivi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strRef>
              <c:f>Statistiques!$B$22:$G$22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Statistiques!$B$24:$G$24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4DD-4B69-92A9-613D22600F58}"/>
            </c:ext>
          </c:extLst>
        </c:ser>
        <c:ser>
          <c:idx val="2"/>
          <c:order val="2"/>
          <c:tx>
            <c:strRef>
              <c:f>Statistiques!$A$25</c:f>
              <c:strCache>
                <c:ptCount val="1"/>
                <c:pt idx="0">
                  <c:v>Converti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Statistiques!$B$22:$G$22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Statistiques!$B$25:$G$25</c:f>
              <c:numCache>
                <c:formatCode>General</c:formatCode>
                <c:ptCount val="6"/>
                <c:pt idx="0">
                  <c:v>7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4DD-4B69-92A9-613D22600F58}"/>
            </c:ext>
          </c:extLst>
        </c:ser>
        <c:ser>
          <c:idx val="3"/>
          <c:order val="3"/>
          <c:tx>
            <c:strRef>
              <c:f>Statistiques!$A$26</c:f>
              <c:strCache>
                <c:ptCount val="1"/>
                <c:pt idx="0">
                  <c:v>Non-converti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Statistiques!$B$22:$G$22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Statistiques!$B$26:$G$26</c:f>
              <c:numCache>
                <c:formatCode>General</c:formatCode>
                <c:ptCount val="6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4DD-4B69-92A9-613D22600F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7727903"/>
        <c:axId val="17731263"/>
      </c:lineChart>
      <c:catAx>
        <c:axId val="177279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17731263"/>
        <c:crosses val="autoZero"/>
        <c:auto val="1"/>
        <c:lblAlgn val="ctr"/>
        <c:lblOffset val="100"/>
        <c:noMultiLvlLbl val="0"/>
      </c:catAx>
      <c:valAx>
        <c:axId val="177312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1772790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r>
              <a:rPr lang="fr-FR" sz="1600" b="1"/>
              <a:t>Panier moyen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Statistiques!$A$17</c:f>
              <c:strCache>
                <c:ptCount val="1"/>
                <c:pt idx="0">
                  <c:v>Émis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Statistiques!$B$16:$G$16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Statistiques!$B$17:$G$17</c:f>
              <c:numCache>
                <c:formatCode>#\ ##0.00\ "€"</c:formatCode>
                <c:ptCount val="6"/>
                <c:pt idx="0">
                  <c:v>24001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28A-4950-A7D9-CF3B29D2CF21}"/>
            </c:ext>
          </c:extLst>
        </c:ser>
        <c:ser>
          <c:idx val="1"/>
          <c:order val="1"/>
          <c:tx>
            <c:strRef>
              <c:f>Statistiques!$A$18</c:f>
              <c:strCache>
                <c:ptCount val="1"/>
                <c:pt idx="0">
                  <c:v>Suivi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strRef>
              <c:f>Statistiques!$B$16:$G$16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Statistiques!$B$18:$G$18</c:f>
              <c:numCache>
                <c:formatCode>#\ ##0.00\ "€"</c:formatCode>
                <c:ptCount val="6"/>
                <c:pt idx="0">
                  <c:v>27700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28A-4950-A7D9-CF3B29D2CF21}"/>
            </c:ext>
          </c:extLst>
        </c:ser>
        <c:ser>
          <c:idx val="2"/>
          <c:order val="2"/>
          <c:tx>
            <c:strRef>
              <c:f>Statistiques!$A$19</c:f>
              <c:strCache>
                <c:ptCount val="1"/>
                <c:pt idx="0">
                  <c:v>Converti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Statistiques!$B$16:$G$16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Statistiques!$B$19:$G$19</c:f>
              <c:numCache>
                <c:formatCode>#\ ##0.00\ "€"</c:formatCode>
                <c:ptCount val="6"/>
                <c:pt idx="0">
                  <c:v>36142.857142857145</c:v>
                </c:pt>
                <c:pt idx="1">
                  <c:v>47500</c:v>
                </c:pt>
                <c:pt idx="2">
                  <c:v>23000</c:v>
                </c:pt>
                <c:pt idx="3">
                  <c:v>42000</c:v>
                </c:pt>
                <c:pt idx="4">
                  <c:v>29000</c:v>
                </c:pt>
                <c:pt idx="5">
                  <c:v>32000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28A-4950-A7D9-CF3B29D2CF21}"/>
            </c:ext>
          </c:extLst>
        </c:ser>
        <c:ser>
          <c:idx val="3"/>
          <c:order val="3"/>
          <c:tx>
            <c:strRef>
              <c:f>Statistiques!$A$20</c:f>
              <c:strCache>
                <c:ptCount val="1"/>
                <c:pt idx="0">
                  <c:v>Non-converti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Statistiques!$B$16:$G$16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Statistiques!$B$20:$G$20</c:f>
              <c:numCache>
                <c:formatCode>#\ ##0.00\ "€"</c:formatCode>
                <c:ptCount val="6"/>
                <c:pt idx="0">
                  <c:v>28000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27000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28A-4950-A7D9-CF3B29D2CF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361407"/>
        <c:axId val="64360447"/>
      </c:barChart>
      <c:catAx>
        <c:axId val="643614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64360447"/>
        <c:crosses val="autoZero"/>
        <c:auto val="1"/>
        <c:lblAlgn val="ctr"/>
        <c:lblOffset val="100"/>
        <c:noMultiLvlLbl val="0"/>
      </c:catAx>
      <c:valAx>
        <c:axId val="643604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643614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Bahnschrift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r>
              <a:rPr lang="fr-FR" sz="1600" b="1"/>
              <a:t>Taux de convertion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Statistiques!$A$9</c:f>
              <c:strCache>
                <c:ptCount val="1"/>
                <c:pt idx="0">
                  <c:v>Émis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Statistiques!$B$8:$G$8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Statistiques!$B$9:$G$9</c:f>
              <c:numCache>
                <c:formatCode>0.00%</c:formatCode>
                <c:ptCount val="6"/>
                <c:pt idx="0">
                  <c:v>0.1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37-4653-98D5-5A1DAC77AA19}"/>
            </c:ext>
          </c:extLst>
        </c:ser>
        <c:ser>
          <c:idx val="1"/>
          <c:order val="1"/>
          <c:tx>
            <c:strRef>
              <c:f>Statistiques!$A$10</c:f>
              <c:strCache>
                <c:ptCount val="1"/>
                <c:pt idx="0">
                  <c:v>Suivi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invertIfNegative val="0"/>
          <c:cat>
            <c:strRef>
              <c:f>Statistiques!$B$8:$G$8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Statistiques!$B$10:$G$10</c:f>
              <c:numCache>
                <c:formatCode>0.00%</c:formatCode>
                <c:ptCount val="6"/>
                <c:pt idx="0">
                  <c:v>0.1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37-4653-98D5-5A1DAC77AA19}"/>
            </c:ext>
          </c:extLst>
        </c:ser>
        <c:ser>
          <c:idx val="2"/>
          <c:order val="2"/>
          <c:tx>
            <c:strRef>
              <c:f>Statistiques!$A$11</c:f>
              <c:strCache>
                <c:ptCount val="1"/>
                <c:pt idx="0">
                  <c:v>Converti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0"/>
          <c:cat>
            <c:strRef>
              <c:f>Statistiques!$B$8:$G$8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Statistiques!$B$11:$G$11</c:f>
              <c:numCache>
                <c:formatCode>0.00%</c:formatCode>
                <c:ptCount val="6"/>
                <c:pt idx="0">
                  <c:v>0.7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0.5</c:v>
                </c:pt>
                <c:pt idx="5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437-4653-98D5-5A1DAC77AA19}"/>
            </c:ext>
          </c:extLst>
        </c:ser>
        <c:ser>
          <c:idx val="3"/>
          <c:order val="3"/>
          <c:tx>
            <c:strRef>
              <c:f>Statistiques!$A$12</c:f>
              <c:strCache>
                <c:ptCount val="1"/>
                <c:pt idx="0">
                  <c:v>Non-converti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Statistiques!$B$8:$G$8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Statistiques!$B$12:$G$12</c:f>
              <c:numCache>
                <c:formatCode>0.00%</c:formatCode>
                <c:ptCount val="6"/>
                <c:pt idx="0">
                  <c:v>0.1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0.5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37-4653-98D5-5A1DAC77AA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181311"/>
        <c:axId val="63182751"/>
      </c:barChart>
      <c:catAx>
        <c:axId val="631813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63182751"/>
        <c:crosses val="autoZero"/>
        <c:auto val="1"/>
        <c:lblAlgn val="ctr"/>
        <c:lblOffset val="100"/>
        <c:noMultiLvlLbl val="0"/>
      </c:catAx>
      <c:valAx>
        <c:axId val="63182751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>
              <a:outerShdw algn="ctr" rotWithShape="0">
                <a:srgbClr val="000000">
                  <a:alpha val="0"/>
                </a:srgbClr>
              </a:outerShdw>
            </a:effectLst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631813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Bahnschrift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r>
              <a:rPr lang="fr-FR" sz="1600" b="1"/>
              <a:t>Montant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Statistiques!$A$2</c:f>
              <c:strCache>
                <c:ptCount val="1"/>
                <c:pt idx="0">
                  <c:v>Émis</c:v>
                </c:pt>
              </c:strCache>
            </c:strRef>
          </c:tx>
          <c:spPr>
            <a:ln w="28575" cap="rnd">
              <a:solidFill>
                <a:schemeClr val="bg1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bg1">
                  <a:lumMod val="75000"/>
                </a:schemeClr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Statistiques!$B$1:$G$1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Statistiques!$B$2:$G$2</c:f>
              <c:numCache>
                <c:formatCode>#\ ##0.00\ "€"</c:formatCode>
                <c:ptCount val="6"/>
                <c:pt idx="0">
                  <c:v>24001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0A-4A83-9D79-DEBCD3007E06}"/>
            </c:ext>
          </c:extLst>
        </c:ser>
        <c:ser>
          <c:idx val="1"/>
          <c:order val="1"/>
          <c:tx>
            <c:strRef>
              <c:f>Statistiques!$A$3</c:f>
              <c:strCache>
                <c:ptCount val="1"/>
                <c:pt idx="0">
                  <c:v>Suivi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C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Statistiques!$B$1:$G$1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Statistiques!$B$3:$G$3</c:f>
              <c:numCache>
                <c:formatCode>#\ ##0.00\ "€"</c:formatCode>
                <c:ptCount val="6"/>
                <c:pt idx="0">
                  <c:v>27700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31000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90A-4A83-9D79-DEBCD3007E06}"/>
            </c:ext>
          </c:extLst>
        </c:ser>
        <c:ser>
          <c:idx val="2"/>
          <c:order val="2"/>
          <c:tx>
            <c:strRef>
              <c:f>Statistiques!$A$4</c:f>
              <c:strCache>
                <c:ptCount val="1"/>
                <c:pt idx="0">
                  <c:v>Converti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Statistiques!$B$1:$G$1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Statistiques!$B$4:$G$4</c:f>
              <c:numCache>
                <c:formatCode>#\ ##0.00\ "€"</c:formatCode>
                <c:ptCount val="6"/>
                <c:pt idx="0">
                  <c:v>253000</c:v>
                </c:pt>
                <c:pt idx="1">
                  <c:v>95000</c:v>
                </c:pt>
                <c:pt idx="2">
                  <c:v>23000</c:v>
                </c:pt>
                <c:pt idx="3">
                  <c:v>42000</c:v>
                </c:pt>
                <c:pt idx="4">
                  <c:v>29000</c:v>
                </c:pt>
                <c:pt idx="5">
                  <c:v>32000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90A-4A83-9D79-DEBCD3007E06}"/>
            </c:ext>
          </c:extLst>
        </c:ser>
        <c:ser>
          <c:idx val="3"/>
          <c:order val="3"/>
          <c:tx>
            <c:strRef>
              <c:f>Statistiques!$A$5</c:f>
              <c:strCache>
                <c:ptCount val="1"/>
                <c:pt idx="0">
                  <c:v>Non-converti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Statistiques!$B$1:$G$1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Statistiques!$B$5:$G$5</c:f>
              <c:numCache>
                <c:formatCode>#\ ##0.00\ "€"</c:formatCode>
                <c:ptCount val="6"/>
                <c:pt idx="0">
                  <c:v>28000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27000</c:v>
                </c:pt>
                <c:pt idx="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90A-4A83-9D79-DEBCD3007E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6090703"/>
        <c:axId val="76085423"/>
      </c:lineChart>
      <c:catAx>
        <c:axId val="760907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76085423"/>
        <c:crosses val="autoZero"/>
        <c:auto val="1"/>
        <c:lblAlgn val="ctr"/>
        <c:lblOffset val="100"/>
        <c:noMultiLvlLbl val="0"/>
      </c:catAx>
      <c:valAx>
        <c:axId val="760854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7609070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Bahnschrift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r>
              <a:rPr lang="fr-FR" sz="1600" b="1"/>
              <a:t>Gamme de prix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Statistiques!$A$30</c:f>
              <c:strCache>
                <c:ptCount val="1"/>
                <c:pt idx="0">
                  <c:v>&gt;20 000 / &lt;30 000</c:v>
                </c:pt>
              </c:strCache>
            </c:strRef>
          </c:tx>
          <c:spPr>
            <a:solidFill>
              <a:schemeClr val="accent4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Statistiques!$B$29:$G$29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Statistiques!$B$30:$G$30</c:f>
              <c:numCache>
                <c:formatCode>General</c:formatCode>
                <c:ptCount val="6"/>
                <c:pt idx="0">
                  <c:v>2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6F-4DAF-B913-48105F546203}"/>
            </c:ext>
          </c:extLst>
        </c:ser>
        <c:ser>
          <c:idx val="1"/>
          <c:order val="1"/>
          <c:tx>
            <c:strRef>
              <c:f>Statistiques!$A$32</c:f>
              <c:strCache>
                <c:ptCount val="1"/>
                <c:pt idx="0">
                  <c:v>&gt;30 000 / &lt;40 000</c:v>
                </c:pt>
              </c:strCache>
            </c:strRef>
          </c:tx>
          <c:spPr>
            <a:solidFill>
              <a:schemeClr val="accent4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Statistiques!$B$29:$G$29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Statistiques!$B$32:$G$32</c:f>
              <c:numCache>
                <c:formatCode>General</c:formatCode>
                <c:ptCount val="6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6F-4DAF-B913-48105F546203}"/>
            </c:ext>
          </c:extLst>
        </c:ser>
        <c:ser>
          <c:idx val="2"/>
          <c:order val="2"/>
          <c:tx>
            <c:strRef>
              <c:f>Statistiques!$A$34</c:f>
              <c:strCache>
                <c:ptCount val="1"/>
                <c:pt idx="0">
                  <c:v>&gt;40 000 / &lt;50 000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Statistiques!$B$29:$G$29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Statistiques!$B$34:$G$34</c:f>
              <c:numCache>
                <c:formatCode>General</c:formatCode>
                <c:ptCount val="6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6F-4DAF-B913-48105F546203}"/>
            </c:ext>
          </c:extLst>
        </c:ser>
        <c:ser>
          <c:idx val="3"/>
          <c:order val="3"/>
          <c:tx>
            <c:strRef>
              <c:f>Statistiques!$A$36</c:f>
              <c:strCache>
                <c:ptCount val="1"/>
                <c:pt idx="0">
                  <c:v>&gt;50 000 / &lt;60 000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Statistiques!$B$29:$G$29</c:f>
              <c:strCache>
                <c:ptCount val="6"/>
                <c:pt idx="0">
                  <c:v>2025</c:v>
                </c:pt>
                <c:pt idx="1">
                  <c:v>2026</c:v>
                </c:pt>
                <c:pt idx="2">
                  <c:v>2027</c:v>
                </c:pt>
                <c:pt idx="3">
                  <c:v>2028</c:v>
                </c:pt>
                <c:pt idx="4">
                  <c:v>2029</c:v>
                </c:pt>
                <c:pt idx="5">
                  <c:v>2030</c:v>
                </c:pt>
              </c:strCache>
            </c:strRef>
          </c:cat>
          <c:val>
            <c:numRef>
              <c:f>Statistiques!$B$36:$G$36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26F-4DAF-B913-48105F5462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3924223"/>
        <c:axId val="1943928543"/>
      </c:barChart>
      <c:catAx>
        <c:axId val="19439242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1943928543"/>
        <c:crosses val="autoZero"/>
        <c:auto val="1"/>
        <c:lblAlgn val="ctr"/>
        <c:lblOffset val="100"/>
        <c:noMultiLvlLbl val="0"/>
      </c:catAx>
      <c:valAx>
        <c:axId val="19439285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Bahnschrift" panose="020B0502040204020203" pitchFamily="34" charset="0"/>
                <a:ea typeface="+mn-ea"/>
                <a:cs typeface="+mn-cs"/>
              </a:defRPr>
            </a:pPr>
            <a:endParaRPr lang="fr-FR"/>
          </a:p>
        </c:txPr>
        <c:crossAx val="19439242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Bahnschrift" panose="020B0502040204020203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Bahnschrift" panose="020B0502040204020203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2431570</xdr:colOff>
      <xdr:row>1</xdr:row>
      <xdr:rowOff>2970</xdr:rowOff>
    </xdr:from>
    <xdr:to>
      <xdr:col>12</xdr:col>
      <xdr:colOff>4139539</xdr:colOff>
      <xdr:row>4</xdr:row>
      <xdr:rowOff>166254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Statut du devis">
              <a:extLst>
                <a:ext uri="{FF2B5EF4-FFF2-40B4-BE49-F238E27FC236}">
                  <a16:creationId xmlns:a16="http://schemas.microsoft.com/office/drawing/2014/main" id="{DEA2A17F-44F0-5785-34DA-3F3EFB660F9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 du dev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802697" y="432461"/>
              <a:ext cx="1707969" cy="14517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8964</xdr:colOff>
      <xdr:row>21</xdr:row>
      <xdr:rowOff>0</xdr:rowOff>
    </xdr:from>
    <xdr:to>
      <xdr:col>12</xdr:col>
      <xdr:colOff>0</xdr:colOff>
      <xdr:row>27</xdr:row>
      <xdr:rowOff>500742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B1248FA-346B-7F4E-589A-60C47183372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4481</xdr:colOff>
      <xdr:row>14</xdr:row>
      <xdr:rowOff>500742</xdr:rowOff>
    </xdr:from>
    <xdr:to>
      <xdr:col>12</xdr:col>
      <xdr:colOff>0</xdr:colOff>
      <xdr:row>21</xdr:row>
      <xdr:rowOff>10885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BD2BF5B-72B3-BE9C-716A-601832CF35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10886</xdr:colOff>
      <xdr:row>7</xdr:row>
      <xdr:rowOff>4482</xdr:rowOff>
    </xdr:from>
    <xdr:to>
      <xdr:col>12</xdr:col>
      <xdr:colOff>0</xdr:colOff>
      <xdr:row>13</xdr:row>
      <xdr:rowOff>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E986BE07-74EA-5BCA-FAF7-9C9A0A28257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1420906</xdr:colOff>
      <xdr:row>0</xdr:row>
      <xdr:rowOff>0</xdr:rowOff>
    </xdr:from>
    <xdr:to>
      <xdr:col>12</xdr:col>
      <xdr:colOff>0</xdr:colOff>
      <xdr:row>7</xdr:row>
      <xdr:rowOff>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560F0E83-F6B3-B4AD-83B8-1BADD34BCBB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10885</xdr:colOff>
      <xdr:row>27</xdr:row>
      <xdr:rowOff>495300</xdr:rowOff>
    </xdr:from>
    <xdr:to>
      <xdr:col>12</xdr:col>
      <xdr:colOff>0</xdr:colOff>
      <xdr:row>35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84ECA50-C3B9-9099-A198-9C10A4A7EF4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t_du_devis" xr10:uid="{D7F23F01-F6C6-4570-A604-3C86E58E7A47}" sourceName="Statut du devis">
  <extLst>
    <x:ext xmlns:x15="http://schemas.microsoft.com/office/spreadsheetml/2010/11/main" uri="{2F2917AC-EB37-4324-AD4E-5DD8C200BD13}">
      <x15:tableSlicerCache tableId="1" column="1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tatut du devis" xr10:uid="{1F18B523-E445-473C-9629-F5C900778FF3}" cache="Segment_Statut_du_devis" caption="Statut du devis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3C5ECF-39F5-4A63-B0E5-969B59602B01}" name="Tableau1" displayName="Tableau1" ref="A8:N26" totalsRowShown="0" headerRowDxfId="24" dataDxfId="23" headerRowBorderDxfId="21" tableBorderDxfId="22" totalsRowBorderDxfId="20">
  <autoFilter ref="A8:N26" xr:uid="{433C5ECF-39F5-4A63-B0E5-969B59602B01}"/>
  <tableColumns count="14">
    <tableColumn id="1" xr3:uid="{4D37F666-6DDE-4018-82E3-8032B6E233E8}" name="Date du devis" dataDxfId="19"/>
    <tableColumn id="2" xr3:uid="{0ACA2766-E001-4FA7-801E-AF4770587D52}" name="Date limite de relance" dataDxfId="18">
      <calculatedColumnFormula>IF(Tableau1[[#This Row],[Date du devis]]&gt;0,Tableau1[[#This Row],[Date du devis]]+30,"")</calculatedColumnFormula>
    </tableColumn>
    <tableColumn id="3" xr3:uid="{3B1C335F-09DE-49BF-BA1F-A708D91CDA72}" name="Nom du Client" dataDxfId="17"/>
    <tableColumn id="7" xr3:uid="{6C112D0A-93F0-4C7E-AA4E-B583E9929E1B}" name="Voie" dataDxfId="16"/>
    <tableColumn id="8" xr3:uid="{E3637F5B-9911-435C-9DB0-5D9890B996E8}" name="Code postal" dataDxfId="15"/>
    <tableColumn id="9" xr3:uid="{A536C449-B967-41F3-A7F7-133E067D3E83}" name="Ville" dataDxfId="14"/>
    <tableColumn id="4" xr3:uid="{935ED252-1521-416A-8FB6-D00E18DF1BD9}" name="n° de téléphone" dataDxfId="13"/>
    <tableColumn id="5" xr3:uid="{2973A198-2D09-43C1-913F-F022489F007E}" name="e-mail" dataDxfId="12"/>
    <tableColumn id="6" xr3:uid="{57658A54-A851-4BE7-A85C-2FD2335EAFF9}" name="Projet" dataDxfId="11"/>
    <tableColumn id="11" xr3:uid="{7C8BFD09-32F4-4D3A-ACB7-3DE294BC6FCD}" name="Taille" dataDxfId="0"/>
    <tableColumn id="12" xr3:uid="{11073E5F-2748-412A-A029-C6803058EF50}" name="Statut du devis" dataDxfId="10"/>
    <tableColumn id="10" xr3:uid="{6BB572AC-1AB5-4BF9-B2EF-35E3BCB8BD94}" name="Date de vente" dataDxfId="9"/>
    <tableColumn id="13" xr3:uid="{189F8747-746A-4D15-944A-6202C0691183}" name="Commentaire" dataDxfId="7"/>
    <tableColumn id="15" xr3:uid="{F1EF6044-F2E7-4AE9-AF0E-2ED32520AED6}" name="Mois en texte" dataDxfId="8">
      <calculatedColumnFormula>TEXT(Tableau1[[#This Row],[Date du devis]],"mmmm")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825865F-EA8B-4DEA-BFE0-A13B894346AC}" name="TableauPaniermoyen" displayName="TableauPaniermoyen" ref="A16:G20" totalsRowShown="0" headerRowDxfId="83" dataDxfId="82">
  <autoFilter ref="A16:G20" xr:uid="{2825865F-EA8B-4DEA-BFE0-A13B894346AC}"/>
  <tableColumns count="7">
    <tableColumn id="1" xr3:uid="{FBDF2EFB-A66B-4FE1-9B71-26280EB53299}" name="Panier moyen" dataDxfId="81"/>
    <tableColumn id="2" xr3:uid="{93BB61ED-2F59-43EC-9551-2801AEEA4BA1}" name="2025" dataDxfId="80">
      <calculatedColumnFormula>SUMIFS(Tableau1[Projet], Tableau1[Date du devis],"&gt;="&amp;DATE(TableauPaniermoyen[[#Headers],[2025]],1,1),Tableau1[Date du devis],"&lt;="&amp;DATE(TableauPaniermoyen[[#Headers],[2025]],12,31),Tableau1[Statut du devis],"Émis")/COUNTIFS(Tableau1[Statut du devis],"Émis", Tableau1[Date du devis],"&gt;="&amp;DATE(TableauPaniermoyen[[#Headers],[2025]],1,1),Tableau1[Date du devis],"&lt;="&amp;DATE(TableauPaniermoyen[[#Headers],[2025]],12,31))</calculatedColumnFormula>
    </tableColumn>
    <tableColumn id="3" xr3:uid="{F1F8B136-779C-4FAA-BDA1-4D4A800F6AEF}" name="2026" dataDxfId="79"/>
    <tableColumn id="4" xr3:uid="{1F64C83B-FDE8-44F8-B5F8-F7CB625E36A6}" name="2027" dataDxfId="78"/>
    <tableColumn id="5" xr3:uid="{5F04B0B5-A7DA-494D-A49B-32ABCDB39052}" name="2028" dataDxfId="77"/>
    <tableColumn id="6" xr3:uid="{2B741442-0A96-4356-9AFB-C3507E361D75}" name="2029" dataDxfId="76"/>
    <tableColumn id="7" xr3:uid="{8D66EB32-8705-4971-B1A9-B8304BD239B6}" name="2030" dataDxfId="75"/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624728-8C03-4142-B53A-CDD4885A4618}" name="TableauDevis" displayName="TableauDevis" ref="A1:G6" totalsRowCount="1" headerRowDxfId="74" dataDxfId="73">
  <autoFilter ref="A1:G5" xr:uid="{59624728-8C03-4142-B53A-CDD4885A4618}"/>
  <tableColumns count="7">
    <tableColumn id="1" xr3:uid="{89E41445-FF84-4BCF-B004-FE3915D1FDE9}" name="Devis" totalsRowLabel="Total" dataDxfId="72" totalsRowDxfId="71"/>
    <tableColumn id="2" xr3:uid="{118D51A5-22EC-4008-BDDC-353293AA5E42}" name="2025" totalsRowFunction="custom" dataDxfId="70" totalsRowDxfId="69">
      <totalsRowFormula>SUM(TableauDevis[2025])</totalsRowFormula>
    </tableColumn>
    <tableColumn id="3" xr3:uid="{E0E4D924-44FB-4AF7-851E-AA737D01A00A}" name="2026" dataDxfId="68" totalsRowDxfId="67"/>
    <tableColumn id="4" xr3:uid="{6542A2A2-A1FA-44C2-8B23-0232B78089A8}" name="2027" dataDxfId="66" totalsRowDxfId="65"/>
    <tableColumn id="5" xr3:uid="{B0181E81-27E1-4CAD-B9C4-621EF1BA20EF}" name="2028" dataDxfId="64" totalsRowDxfId="63"/>
    <tableColumn id="6" xr3:uid="{FE23EBCC-4C6D-4292-B4A7-B7CD13820462}" name="2029" dataDxfId="62" totalsRowDxfId="61"/>
    <tableColumn id="7" xr3:uid="{4B1A7FE9-AE0A-49BB-B33F-FDA1781A025F}" name="2030" dataDxfId="60" totalsRowDxfId="59"/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05295F-8EEA-4FE7-8941-138317FA8A4E}" name="TableauNombre" displayName="TableauNombre" ref="A22:G27" totalsRowCount="1" headerRowDxfId="58" dataDxfId="57">
  <autoFilter ref="A22:G26" xr:uid="{B105295F-8EEA-4FE7-8941-138317FA8A4E}"/>
  <tableColumns count="7">
    <tableColumn id="1" xr3:uid="{C0625AE2-AEFE-425F-B0C1-11126F82299B}" name="Nombre" totalsRowLabel="Total" dataDxfId="56" totalsRowDxfId="55"/>
    <tableColumn id="2" xr3:uid="{4AC0C000-796E-49EC-AB0F-79EF48D40663}" name="2025" totalsRowFunction="sum" dataDxfId="54" totalsRowDxfId="53">
      <calculatedColumnFormula>COUNTIFS(Tableau1[Statut du devis],"Émis", Tableau1[Date du devis],"&gt;="&amp;DATE(TableauNombre[[#Headers],[2025]],1,1),Tableau1[Date du devis],"&lt;="&amp;DATE(TableauNombre[[#Headers],[2025]],12,31))</calculatedColumnFormula>
    </tableColumn>
    <tableColumn id="3" xr3:uid="{EC92353B-E190-4009-8131-569D74710F8F}" name="2026" totalsRowFunction="sum" dataDxfId="52" totalsRowDxfId="51"/>
    <tableColumn id="4" xr3:uid="{ADD439DD-2352-4712-8001-D53D930A886A}" name="2027" totalsRowFunction="sum" dataDxfId="50" totalsRowDxfId="49"/>
    <tableColumn id="5" xr3:uid="{59FC53D6-E3D5-4550-A179-66B8792B9D1A}" name="2028" totalsRowFunction="sum" dataDxfId="48" totalsRowDxfId="47"/>
    <tableColumn id="6" xr3:uid="{83C7B9E4-5498-4E7B-916B-117F52CD9633}" name="2029" totalsRowFunction="sum" dataDxfId="46" totalsRowDxfId="45"/>
    <tableColumn id="7" xr3:uid="{7ADC2A73-DDA8-4DB5-A362-77EEF513C44C}" name="2030" totalsRowFunction="sum" dataDxfId="44" totalsRowDxfId="43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9062EE-BF35-434C-88D8-97CCA85CB4EE}" name="TableauTauxdeconversion" displayName="TableauTauxdeconversion" ref="A8:G12" totalsRowShown="0" headerRowDxfId="42" dataDxfId="41">
  <autoFilter ref="A8:G12" xr:uid="{7D9062EE-BF35-434C-88D8-97CCA85CB4EE}"/>
  <tableColumns count="7">
    <tableColumn id="1" xr3:uid="{6CE19611-7EBD-43AA-8834-615B81AFF966}" name="Taux de conversion" dataDxfId="40"/>
    <tableColumn id="2" xr3:uid="{AE68A389-B113-4924-BE46-D9C9E4C5222A}" name="2025" dataDxfId="39">
      <calculatedColumnFormula>IFERROR(B23/SUM(TableauNombre[2025]),"")</calculatedColumnFormula>
    </tableColumn>
    <tableColumn id="3" xr3:uid="{9C491561-9DBE-454D-B752-E84BF0C19A0B}" name="2026" dataDxfId="38">
      <calculatedColumnFormula>IFERROR(C23/SUM(TableauNombre[2026]),"")</calculatedColumnFormula>
    </tableColumn>
    <tableColumn id="4" xr3:uid="{A52A3D6B-28C5-47A6-9EBF-42D863C43A57}" name="2027" dataDxfId="37">
      <calculatedColumnFormula>IFERROR(D23/SUM(TableauNombre[2027]),"")</calculatedColumnFormula>
    </tableColumn>
    <tableColumn id="5" xr3:uid="{CC22D1C4-A932-4B5B-900A-5C4993330B2D}" name="2028" dataDxfId="36">
      <calculatedColumnFormula>IFERROR(E23/SUM(TableauNombre[2028]),"")</calculatedColumnFormula>
    </tableColumn>
    <tableColumn id="6" xr3:uid="{9BDBA3BC-104A-43DB-94E3-2CC9F8386511}" name="2029" dataDxfId="35">
      <calculatedColumnFormula>IFERROR(F23/SUM(TableauNombre[2029]),"")</calculatedColumnFormula>
    </tableColumn>
    <tableColumn id="7" xr3:uid="{ED3E2E28-6353-4899-A1D8-165E882BE437}" name="2030" dataDxfId="34">
      <calculatedColumnFormula>IFERROR(G23/SUM(TableauNombre[2030]),"")</calculatedColumnFormula>
    </tableColumn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887717E-F19D-4927-B197-631440AA74F3}" name="TableauGammedeprix" displayName="TableauGammedeprix" ref="A29:G37" totalsRowShown="0" headerRowDxfId="33" dataDxfId="32">
  <autoFilter ref="A29:G37" xr:uid="{5887717E-F19D-4927-B197-631440AA74F3}"/>
  <tableColumns count="7">
    <tableColumn id="1" xr3:uid="{D3BB7B99-1B2E-44C0-B706-A3D73C95F0AF}" name="Gamme de prix" dataDxfId="31"/>
    <tableColumn id="2" xr3:uid="{8CD70D96-8457-4F60-9FCC-755E497DDC97}" name="2025" dataDxfId="30">
      <calculatedColumnFormula>COUNTIFS(Tableau1[Projet],"&gt;=20000",Tableau1[Projet],"&lt;30000",Tableau1[Statut du devis],"Converti",Tableau1[[Date du devis]:[Date du devis]],"&gt;="&amp;DATE(TableauGammedeprix[[#Headers],[2025]],1,1),Tableau1[[Date du devis]:[Date du devis]],"&lt;="&amp;DATE(TableauGammedeprix[[#Headers],[2025]],12,31))</calculatedColumnFormula>
    </tableColumn>
    <tableColumn id="3" xr3:uid="{A601060A-DE03-46DA-85AA-824492A80622}" name="2026" dataDxfId="29">
      <calculatedColumnFormula>COUNTIFS(Tableau1[Statut du devis],"&gt;=20000",Tableau1[Statut du devis],"&lt;30000",Tableau1[Date de vente],"Converti",Tableau1[[Date du devis]:[Date du devis]],"&gt;="&amp;DATE(TableauGammedeprix[[#Headers],[2026]],1,1),Tableau1[[Date du devis]:[Date du devis]],"&lt;="&amp;DATE(TableauGammedeprix[[#Headers],[2026]],12,31))</calculatedColumnFormula>
    </tableColumn>
    <tableColumn id="4" xr3:uid="{9C5C6D1A-AC72-4742-A596-BDB006864F6E}" name="2027" dataDxfId="28">
      <calculatedColumnFormula>COUNTIFS(Tableau1[Date de vente],"&gt;=20000",Tableau1[Date de vente],"&lt;30000",Tableau1[Commentaire],"Converti",Tableau1[[Date du devis]:[Date du devis]],"&gt;="&amp;DATE(TableauGammedeprix[[#Headers],[2027]],1,1),Tableau1[[Date du devis]:[Date du devis]],"&lt;="&amp;DATE(TableauGammedeprix[[#Headers],[2027]],12,31))</calculatedColumnFormula>
    </tableColumn>
    <tableColumn id="5" xr3:uid="{317D0981-C9A1-4A29-B55E-1E9B794A6F2C}" name="2028" dataDxfId="27">
      <calculatedColumnFormula>COUNTIFS(Tableau1[Commentaire],"&gt;=20000",Tableau1[Commentaire],"&lt;30000",Tableau1[Date du devis],"Converti",Tableau1[[Date du devis]:[Date du devis]],"&gt;="&amp;DATE(TableauGammedeprix[[#Headers],[2028]],1,1),Tableau1[[Date du devis]:[Date du devis]],"&lt;="&amp;DATE(TableauGammedeprix[[#Headers],[2028]],12,31))</calculatedColumnFormula>
    </tableColumn>
    <tableColumn id="6" xr3:uid="{F8CA2355-8094-4180-B768-9E5A79AB5760}" name="2029" dataDxfId="26">
      <calculatedColumnFormula>COUNTIFS(Tableau1[Date du devis],"&gt;=20000",Tableau1[Date du devis],"&lt;30000",Tableau1[Date limite de relance],"Converti",Tableau1[[Date du devis]:[Date du devis]],"&gt;="&amp;DATE(TableauGammedeprix[[#Headers],[2029]],1,1),Tableau1[[Date du devis]:[Date du devis]],"&lt;="&amp;DATE(TableauGammedeprix[[#Headers],[2029]],12,31))</calculatedColumnFormula>
    </tableColumn>
    <tableColumn id="7" xr3:uid="{06433C6A-0D75-46BC-BD63-EABB336B066E}" name="2030" dataDxfId="25">
      <calculatedColumnFormula>COUNTIFS(Tableau1[Date limite de relance],"&gt;=20000",Tableau1[Date limite de relance],"&lt;30000",Tableau1[Nom du Client],"Converti",Tableau1[[Date du devis]:[Date du devis]],"&gt;="&amp;DATE(TableauGammedeprix[[#Headers],[2030]],1,1),Tableau1[[Date du devis]:[Date du devis]],"&lt;="&amp;DATE(TableauGammedeprix[[#Headers],[2030]],12,31))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6"/>
  <sheetViews>
    <sheetView tabSelected="1" zoomScale="55" zoomScaleNormal="55" workbookViewId="0">
      <pane ySplit="8" topLeftCell="A9" activePane="bottomLeft" state="frozen"/>
      <selection pane="bottomLeft" activeCell="N9" sqref="N9"/>
    </sheetView>
  </sheetViews>
  <sheetFormatPr baseColWidth="10" defaultColWidth="20.6640625" defaultRowHeight="33.9" customHeight="1"/>
  <cols>
    <col min="1" max="2" width="20.6640625" style="7"/>
    <col min="3" max="3" width="40.6640625" style="8" customWidth="1"/>
    <col min="4" max="6" width="20.77734375" style="8" customWidth="1"/>
    <col min="7" max="8" width="20.6640625" style="8"/>
    <col min="9" max="10" width="20.6640625" style="14"/>
    <col min="11" max="12" width="20.6640625" style="8"/>
    <col min="13" max="14" width="60.6640625" style="8" customWidth="1"/>
    <col min="15" max="16384" width="20.6640625" style="8"/>
  </cols>
  <sheetData>
    <row r="1" spans="1:14" s="6" customFormat="1" ht="33.9" customHeight="1">
      <c r="A1" s="5"/>
      <c r="B1" s="5"/>
      <c r="I1" s="18"/>
      <c r="J1" s="18"/>
    </row>
    <row r="2" spans="1:14" ht="33.9" customHeight="1">
      <c r="A2" s="5"/>
      <c r="C2" s="8" t="s">
        <v>10</v>
      </c>
      <c r="D2" s="8">
        <f>COUNTIF(Tableau1[Statut du devis],C2)</f>
        <v>1</v>
      </c>
      <c r="E2" s="14">
        <f>SUMIFS(Tableau1[Projet],Tableau1[Statut du devis],"="&amp;$C$2)</f>
        <v>24001</v>
      </c>
      <c r="I2" s="19"/>
      <c r="J2" s="19"/>
      <c r="M2" s="6"/>
      <c r="N2" s="6"/>
    </row>
    <row r="3" spans="1:14" ht="33.9" customHeight="1">
      <c r="A3" s="5"/>
      <c r="B3" s="9"/>
      <c r="C3" s="8" t="s">
        <v>12</v>
      </c>
      <c r="D3" s="8">
        <f>COUNTIF(Tableau1[Statut du devis],C3)</f>
        <v>2</v>
      </c>
      <c r="E3" s="14">
        <f>SUMIFS(Tableau1[Projet],Tableau1[Statut du devis],"="&amp;$C$3)</f>
        <v>58700</v>
      </c>
      <c r="I3" s="19"/>
      <c r="J3" s="19"/>
      <c r="M3" s="6"/>
      <c r="N3" s="6"/>
    </row>
    <row r="4" spans="1:14" ht="33.9" customHeight="1">
      <c r="A4" s="5"/>
      <c r="B4" s="10"/>
      <c r="C4" s="8" t="s">
        <v>8</v>
      </c>
      <c r="D4" s="8">
        <f>COUNTIF(Tableau1[Statut du devis],C4)</f>
        <v>13</v>
      </c>
      <c r="E4" s="14">
        <f>SUMIFS(Tableau1[Projet],Tableau1[Statut du devis],"="&amp;$C$4)</f>
        <v>474000</v>
      </c>
      <c r="I4" s="19"/>
      <c r="J4" s="19"/>
      <c r="K4" s="33"/>
      <c r="M4" s="6"/>
      <c r="N4" s="6"/>
    </row>
    <row r="5" spans="1:14" ht="33.9" customHeight="1">
      <c r="A5" s="5"/>
      <c r="B5" s="11"/>
      <c r="C5" s="8" t="s">
        <v>9</v>
      </c>
      <c r="D5" s="8">
        <f>COUNTIF(Tableau1[Statut du devis],C5)</f>
        <v>2</v>
      </c>
      <c r="E5" s="14">
        <f>SUMIFS(Tableau1[Projet],Tableau1[Statut du devis],"="&amp;$C$5)</f>
        <v>55000</v>
      </c>
      <c r="I5" s="19"/>
      <c r="J5" s="19"/>
      <c r="M5" s="6"/>
      <c r="N5" s="6"/>
    </row>
    <row r="6" spans="1:14" s="6" customFormat="1" ht="33.9" customHeight="1">
      <c r="A6" s="5"/>
      <c r="B6" s="1" t="s">
        <v>5</v>
      </c>
      <c r="E6" s="15">
        <f>SUM(E2:E5)</f>
        <v>611701</v>
      </c>
      <c r="I6" s="15"/>
      <c r="J6" s="15"/>
    </row>
    <row r="7" spans="1:14" s="6" customFormat="1" ht="33.9" customHeight="1">
      <c r="A7" s="42">
        <f>COUNTA(Tableau1[Date du devis])</f>
        <v>18</v>
      </c>
      <c r="B7" s="1"/>
      <c r="E7" s="15"/>
      <c r="I7" s="15"/>
      <c r="J7" s="15"/>
    </row>
    <row r="8" spans="1:14" s="17" customFormat="1" ht="33.9" customHeight="1">
      <c r="A8" s="2" t="s">
        <v>0</v>
      </c>
      <c r="B8" s="2" t="s">
        <v>4</v>
      </c>
      <c r="C8" s="3" t="s">
        <v>1</v>
      </c>
      <c r="D8" s="3" t="s">
        <v>20</v>
      </c>
      <c r="E8" s="3" t="s">
        <v>21</v>
      </c>
      <c r="F8" s="3" t="s">
        <v>22</v>
      </c>
      <c r="G8" s="4" t="s">
        <v>2</v>
      </c>
      <c r="H8" s="3" t="s">
        <v>6</v>
      </c>
      <c r="I8" s="16" t="s">
        <v>7</v>
      </c>
      <c r="J8" s="16" t="s">
        <v>40</v>
      </c>
      <c r="K8" s="3" t="s">
        <v>11</v>
      </c>
      <c r="L8" s="3" t="s">
        <v>25</v>
      </c>
      <c r="M8" s="3" t="s">
        <v>3</v>
      </c>
      <c r="N8" s="43" t="s">
        <v>39</v>
      </c>
    </row>
    <row r="9" spans="1:14" ht="33.9" customHeight="1">
      <c r="A9" s="7">
        <v>45972</v>
      </c>
      <c r="B9" s="7">
        <f>IF(Tableau1[[#This Row],[Date du devis]]&gt;0,Tableau1[[#This Row],[Date du devis]]+30,"")</f>
        <v>46002</v>
      </c>
      <c r="F9" s="8" t="s">
        <v>41</v>
      </c>
      <c r="G9" s="12"/>
      <c r="H9" s="13"/>
      <c r="I9" s="14">
        <v>26000</v>
      </c>
      <c r="J9" s="47">
        <v>6</v>
      </c>
      <c r="K9" s="7" t="s">
        <v>8</v>
      </c>
      <c r="L9" s="7">
        <v>46002</v>
      </c>
      <c r="N9" s="8" t="str">
        <f>TEXT(Tableau1[[#This Row],[Date du devis]],"mmmm")</f>
        <v>novembre</v>
      </c>
    </row>
    <row r="10" spans="1:14" ht="33.9" customHeight="1">
      <c r="A10" s="7">
        <v>45973</v>
      </c>
      <c r="B10" s="7">
        <f>IF(Tableau1[[#This Row],[Date du devis]]&gt;0,Tableau1[[#This Row],[Date du devis]]+30,"")</f>
        <v>46003</v>
      </c>
      <c r="F10" s="8" t="s">
        <v>31</v>
      </c>
      <c r="G10" s="12"/>
      <c r="H10" s="13"/>
      <c r="I10" s="14">
        <v>33000</v>
      </c>
      <c r="J10" s="47">
        <v>8</v>
      </c>
      <c r="K10" s="7" t="s">
        <v>8</v>
      </c>
      <c r="L10" s="7">
        <v>46003</v>
      </c>
      <c r="M10" s="22"/>
      <c r="N10" s="8" t="str">
        <f>TEXT(Tableau1[[#This Row],[Date du devis]],"mmmm")</f>
        <v>novembre</v>
      </c>
    </row>
    <row r="11" spans="1:14" ht="33.9" customHeight="1">
      <c r="A11" s="7">
        <v>45974</v>
      </c>
      <c r="B11" s="23">
        <f>IF(Tableau1[[#This Row],[Date du devis]]&gt;0,Tableau1[[#This Row],[Date du devis]]+30,"")</f>
        <v>46004</v>
      </c>
      <c r="C11" s="24"/>
      <c r="D11" s="24"/>
      <c r="E11" s="24"/>
      <c r="F11" s="24" t="s">
        <v>42</v>
      </c>
      <c r="G11" s="25"/>
      <c r="H11" s="26"/>
      <c r="I11" s="27">
        <v>41000</v>
      </c>
      <c r="J11" s="48">
        <v>14</v>
      </c>
      <c r="K11" s="7" t="s">
        <v>8</v>
      </c>
      <c r="L11" s="7">
        <v>46004</v>
      </c>
      <c r="M11" s="28"/>
      <c r="N11" s="8" t="str">
        <f>TEXT(Tableau1[[#This Row],[Date du devis]],"mmmm")</f>
        <v>novembre</v>
      </c>
    </row>
    <row r="12" spans="1:14" ht="33.9" customHeight="1">
      <c r="A12" s="7">
        <v>45975</v>
      </c>
      <c r="B12" s="7">
        <f>IF(Tableau1[[#This Row],[Date du devis]]&gt;0,Tableau1[[#This Row],[Date du devis]]+30,"")</f>
        <v>46005</v>
      </c>
      <c r="F12" s="8" t="s">
        <v>42</v>
      </c>
      <c r="G12" s="12"/>
      <c r="H12" s="13"/>
      <c r="I12" s="14">
        <v>41000</v>
      </c>
      <c r="J12" s="47">
        <v>17</v>
      </c>
      <c r="K12" s="7" t="s">
        <v>8</v>
      </c>
      <c r="L12" s="29">
        <v>46369</v>
      </c>
      <c r="M12" s="22"/>
      <c r="N12" s="8" t="str">
        <f>TEXT(Tableau1[[#This Row],[Date du devis]],"mmmm")</f>
        <v>novembre</v>
      </c>
    </row>
    <row r="13" spans="1:14" ht="33.9" customHeight="1">
      <c r="A13" s="7">
        <v>45976</v>
      </c>
      <c r="B13" s="7">
        <f>IF(Tableau1[[#This Row],[Date du devis]]&gt;0,Tableau1[[#This Row],[Date du devis]]+30,"")</f>
        <v>46006</v>
      </c>
      <c r="F13" s="8" t="s">
        <v>43</v>
      </c>
      <c r="G13" s="12"/>
      <c r="H13" s="13"/>
      <c r="I13" s="14">
        <v>56000</v>
      </c>
      <c r="J13" s="47">
        <v>6</v>
      </c>
      <c r="K13" s="7" t="s">
        <v>8</v>
      </c>
      <c r="L13" s="29">
        <v>46005</v>
      </c>
      <c r="M13" s="22"/>
      <c r="N13" s="8" t="str">
        <f>TEXT(Tableau1[[#This Row],[Date du devis]],"mmmm")</f>
        <v>novembre</v>
      </c>
    </row>
    <row r="14" spans="1:14" ht="33.9" customHeight="1">
      <c r="A14" s="7">
        <v>45977</v>
      </c>
      <c r="B14" s="23">
        <f>IF(Tableau1[[#This Row],[Date du devis]]&gt;0,Tableau1[[#This Row],[Date du devis]]+30,"")</f>
        <v>46007</v>
      </c>
      <c r="C14" s="24"/>
      <c r="D14" s="24"/>
      <c r="E14" s="24"/>
      <c r="F14" s="24" t="s">
        <v>44</v>
      </c>
      <c r="G14" s="25"/>
      <c r="H14" s="26"/>
      <c r="I14" s="27">
        <v>24000</v>
      </c>
      <c r="J14" s="48">
        <v>4</v>
      </c>
      <c r="K14" s="7" t="s">
        <v>8</v>
      </c>
      <c r="L14" s="29">
        <v>46371</v>
      </c>
      <c r="M14" s="28"/>
      <c r="N14" s="8" t="str">
        <f>TEXT(Tableau1[[#This Row],[Date du devis]],"mmmm")</f>
        <v>novembre</v>
      </c>
    </row>
    <row r="15" spans="1:14" ht="33.9" customHeight="1">
      <c r="A15" s="7">
        <v>45978</v>
      </c>
      <c r="B15" s="23">
        <f>IF(Tableau1[[#This Row],[Date du devis]]&gt;0,Tableau1[[#This Row],[Date du devis]]+30,"")</f>
        <v>46008</v>
      </c>
      <c r="C15" s="24"/>
      <c r="D15" s="24"/>
      <c r="E15" s="24"/>
      <c r="F15" s="24" t="s">
        <v>45</v>
      </c>
      <c r="G15" s="25"/>
      <c r="H15" s="26"/>
      <c r="I15" s="27">
        <v>24001</v>
      </c>
      <c r="J15" s="48"/>
      <c r="K15" s="7" t="s">
        <v>10</v>
      </c>
      <c r="L15" s="30"/>
      <c r="M15" s="28"/>
      <c r="N15" s="8" t="str">
        <f>TEXT(Tableau1[[#This Row],[Date du devis]],"mmmm")</f>
        <v>novembre</v>
      </c>
    </row>
    <row r="16" spans="1:14" ht="33.9" customHeight="1">
      <c r="A16" s="29">
        <v>46006</v>
      </c>
      <c r="B16" s="7">
        <f>IF(Tableau1[[#This Row],[Date du devis]]&gt;0,Tableau1[[#This Row],[Date du devis]]+30,"")</f>
        <v>46036</v>
      </c>
      <c r="F16" s="8" t="s">
        <v>42</v>
      </c>
      <c r="G16" s="12"/>
      <c r="H16" s="13"/>
      <c r="I16" s="14">
        <v>32000</v>
      </c>
      <c r="J16" s="47">
        <v>7</v>
      </c>
      <c r="K16" s="7" t="s">
        <v>8</v>
      </c>
      <c r="L16" s="29">
        <v>46006</v>
      </c>
      <c r="M16" s="22"/>
      <c r="N16" s="8" t="str">
        <f>TEXT(Tableau1[[#This Row],[Date du devis]],"mmmm")</f>
        <v>décembre</v>
      </c>
    </row>
    <row r="17" spans="1:14" ht="33.9" customHeight="1">
      <c r="A17" s="29">
        <v>46007</v>
      </c>
      <c r="B17" s="7">
        <f>IF(Tableau1[[#This Row],[Date du devis]]&gt;0,Tableau1[[#This Row],[Date du devis]]+30,"")</f>
        <v>46037</v>
      </c>
      <c r="F17" s="8" t="s">
        <v>31</v>
      </c>
      <c r="G17" s="12"/>
      <c r="H17" s="13"/>
      <c r="I17" s="14">
        <v>28000</v>
      </c>
      <c r="J17" s="47"/>
      <c r="K17" s="7" t="s">
        <v>9</v>
      </c>
      <c r="L17" s="29"/>
      <c r="M17" s="22"/>
      <c r="N17" s="8" t="str">
        <f>TEXT(Tableau1[[#This Row],[Date du devis]],"mmmm")</f>
        <v>décembre</v>
      </c>
    </row>
    <row r="18" spans="1:14" ht="33.9" customHeight="1">
      <c r="A18" s="29">
        <v>46008</v>
      </c>
      <c r="B18" s="7">
        <f>IF(Tableau1[[#This Row],[Date du devis]]&gt;0,Tableau1[[#This Row],[Date du devis]]+30,"")</f>
        <v>46038</v>
      </c>
      <c r="F18" s="8" t="s">
        <v>46</v>
      </c>
      <c r="G18" s="12"/>
      <c r="H18" s="13"/>
      <c r="I18" s="14">
        <v>27700</v>
      </c>
      <c r="J18" s="47"/>
      <c r="K18" s="7" t="s">
        <v>12</v>
      </c>
      <c r="L18" s="29"/>
      <c r="M18" s="22"/>
      <c r="N18" s="8" t="str">
        <f>TEXT(Tableau1[[#This Row],[Date du devis]],"mmmm")</f>
        <v>décembre</v>
      </c>
    </row>
    <row r="19" spans="1:14" ht="33.9" customHeight="1">
      <c r="A19" s="29">
        <v>46371</v>
      </c>
      <c r="B19" s="7">
        <f>IF(Tableau1[[#This Row],[Date du devis]]&gt;0,Tableau1[[#This Row],[Date du devis]]+30,"")</f>
        <v>46401</v>
      </c>
      <c r="F19" s="8" t="s">
        <v>47</v>
      </c>
      <c r="G19" s="12"/>
      <c r="H19" s="13"/>
      <c r="I19" s="14">
        <v>41000</v>
      </c>
      <c r="J19" s="47">
        <v>9</v>
      </c>
      <c r="K19" s="7" t="s">
        <v>8</v>
      </c>
      <c r="L19" s="29">
        <v>46371</v>
      </c>
      <c r="M19" s="22"/>
      <c r="N19" s="8" t="str">
        <f>TEXT(Tableau1[[#This Row],[Date du devis]],"mmmm")</f>
        <v>décembre</v>
      </c>
    </row>
    <row r="20" spans="1:14" ht="33.9" customHeight="1">
      <c r="A20" s="29">
        <v>46371</v>
      </c>
      <c r="B20" s="7">
        <f>IF(Tableau1[[#This Row],[Date du devis]]&gt;0,Tableau1[[#This Row],[Date du devis]]+30,"")</f>
        <v>46401</v>
      </c>
      <c r="F20" s="8" t="s">
        <v>48</v>
      </c>
      <c r="G20" s="12"/>
      <c r="H20" s="13"/>
      <c r="I20" s="14">
        <v>54000</v>
      </c>
      <c r="J20" s="47">
        <v>11</v>
      </c>
      <c r="K20" s="7" t="s">
        <v>8</v>
      </c>
      <c r="L20" s="29">
        <v>46371</v>
      </c>
      <c r="M20" s="22"/>
      <c r="N20" s="8" t="str">
        <f>TEXT(Tableau1[[#This Row],[Date du devis]],"mmmm")</f>
        <v>décembre</v>
      </c>
    </row>
    <row r="21" spans="1:14" ht="33.9" customHeight="1">
      <c r="A21" s="29">
        <v>46737</v>
      </c>
      <c r="B21" s="7">
        <f>IF(Tableau1[[#This Row],[Date du devis]]&gt;0,Tableau1[[#This Row],[Date du devis]]+30,"")</f>
        <v>46767</v>
      </c>
      <c r="F21" s="8" t="s">
        <v>48</v>
      </c>
      <c r="G21" s="12"/>
      <c r="H21" s="13"/>
      <c r="I21" s="14">
        <v>23000</v>
      </c>
      <c r="J21" s="47">
        <v>17</v>
      </c>
      <c r="K21" s="7" t="s">
        <v>8</v>
      </c>
      <c r="L21" s="29">
        <v>46737</v>
      </c>
      <c r="M21" s="22"/>
      <c r="N21" s="8" t="str">
        <f>TEXT(Tableau1[[#This Row],[Date du devis]],"mmmm")</f>
        <v>décembre</v>
      </c>
    </row>
    <row r="22" spans="1:14" ht="33.9" customHeight="1">
      <c r="A22" s="29">
        <v>47104</v>
      </c>
      <c r="B22" s="7">
        <f>IF(Tableau1[[#This Row],[Date du devis]]&gt;0,Tableau1[[#This Row],[Date du devis]]+30,"")</f>
        <v>47134</v>
      </c>
      <c r="F22" s="8" t="s">
        <v>49</v>
      </c>
      <c r="G22" s="12"/>
      <c r="H22" s="13"/>
      <c r="I22" s="14">
        <v>42000</v>
      </c>
      <c r="J22" s="47">
        <v>18</v>
      </c>
      <c r="K22" s="7" t="s">
        <v>8</v>
      </c>
      <c r="L22" s="29">
        <v>47104</v>
      </c>
      <c r="M22" s="22"/>
      <c r="N22" s="8" t="str">
        <f>TEXT(Tableau1[[#This Row],[Date du devis]],"mmmm")</f>
        <v>décembre</v>
      </c>
    </row>
    <row r="23" spans="1:14" ht="33.9" customHeight="1">
      <c r="A23" s="34">
        <v>47470</v>
      </c>
      <c r="B23" s="7">
        <f>IF(Tableau1[[#This Row],[Date du devis]]&gt;0,Tableau1[[#This Row],[Date du devis]]+30,"")</f>
        <v>47500</v>
      </c>
      <c r="F23" s="8" t="s">
        <v>49</v>
      </c>
      <c r="G23" s="12"/>
      <c r="H23" s="13"/>
      <c r="I23" s="14">
        <v>29000</v>
      </c>
      <c r="J23" s="47">
        <v>21</v>
      </c>
      <c r="K23" s="7" t="s">
        <v>8</v>
      </c>
      <c r="L23" s="29">
        <v>47470</v>
      </c>
      <c r="M23" s="22"/>
      <c r="N23" s="8" t="str">
        <f>TEXT(Tableau1[[#This Row],[Date du devis]],"mmmm")</f>
        <v>décembre</v>
      </c>
    </row>
    <row r="24" spans="1:14" ht="33.9" customHeight="1">
      <c r="A24" s="34">
        <v>47471</v>
      </c>
      <c r="B24" s="7">
        <f>IF(Tableau1[[#This Row],[Date du devis]]&gt;0,Tableau1[[#This Row],[Date du devis]]+30,"")</f>
        <v>47501</v>
      </c>
      <c r="F24" s="8" t="s">
        <v>49</v>
      </c>
      <c r="G24" s="12"/>
      <c r="H24" s="13"/>
      <c r="I24" s="14">
        <v>27000</v>
      </c>
      <c r="J24" s="47"/>
      <c r="K24" s="7" t="s">
        <v>9</v>
      </c>
      <c r="L24" s="29">
        <v>47471</v>
      </c>
      <c r="M24" s="22"/>
      <c r="N24" s="8" t="str">
        <f>TEXT(Tableau1[[#This Row],[Date du devis]],"mmmm")</f>
        <v>décembre</v>
      </c>
    </row>
    <row r="25" spans="1:14" ht="33.9" customHeight="1">
      <c r="A25" s="35">
        <v>47837</v>
      </c>
      <c r="B25" s="23">
        <f>IF(Tableau1[[#This Row],[Date du devis]]&gt;0,Tableau1[[#This Row],[Date du devis]]+30,"")</f>
        <v>47867</v>
      </c>
      <c r="C25" s="24"/>
      <c r="D25" s="24"/>
      <c r="E25" s="24"/>
      <c r="F25" s="24" t="s">
        <v>31</v>
      </c>
      <c r="G25" s="25"/>
      <c r="H25" s="26"/>
      <c r="I25" s="27">
        <v>31000</v>
      </c>
      <c r="J25" s="48"/>
      <c r="K25" s="7" t="s">
        <v>12</v>
      </c>
      <c r="L25" s="29">
        <v>47837</v>
      </c>
      <c r="M25" s="28"/>
      <c r="N25" s="8" t="str">
        <f>TEXT(Tableau1[[#This Row],[Date du devis]],"mmmm")</f>
        <v>décembre</v>
      </c>
    </row>
    <row r="26" spans="1:14" ht="33.9" customHeight="1">
      <c r="A26" s="35">
        <v>47837</v>
      </c>
      <c r="B26" s="23">
        <v>47867</v>
      </c>
      <c r="C26" s="24"/>
      <c r="D26" s="24"/>
      <c r="E26" s="24"/>
      <c r="F26" s="24" t="s">
        <v>31</v>
      </c>
      <c r="G26" s="25"/>
      <c r="H26" s="26"/>
      <c r="I26" s="27">
        <v>32000</v>
      </c>
      <c r="J26" s="48">
        <v>11</v>
      </c>
      <c r="K26" s="23" t="s">
        <v>8</v>
      </c>
      <c r="L26" s="30">
        <v>47840</v>
      </c>
      <c r="M26" s="28"/>
      <c r="N26" s="8" t="str">
        <f>TEXT(Tableau1[[#This Row],[Date du devis]],"mmmm")</f>
        <v>décembre</v>
      </c>
    </row>
  </sheetData>
  <phoneticPr fontId="5" type="noConversion"/>
  <conditionalFormatting sqref="B9:B26">
    <cfRule type="expression" dxfId="6" priority="25">
      <formula>AND($B9&lt;TODAY(),$K9="émis")</formula>
    </cfRule>
  </conditionalFormatting>
  <conditionalFormatting sqref="A9:N26">
    <cfRule type="expression" dxfId="5" priority="26">
      <formula>AND($K9=$C$5)</formula>
    </cfRule>
    <cfRule type="expression" dxfId="4" priority="27">
      <formula>AND($K9=$C$4)</formula>
    </cfRule>
    <cfRule type="expression" dxfId="3" priority="28">
      <formula>AND($K9=$C$3)</formula>
    </cfRule>
  </conditionalFormatting>
  <dataValidations count="1">
    <dataValidation type="list" allowBlank="1" showInputMessage="1" showErrorMessage="1" sqref="K9:K26" xr:uid="{E394FEE7-D080-4ECA-BB8A-20653B247529}">
      <formula1>$C$2:$C$5</formula1>
    </dataValidation>
  </dataValidations>
  <pageMargins left="0.25" right="0.25" top="0.75" bottom="0.75" header="0.3" footer="0.3"/>
  <pageSetup paperSize="9" scale="36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EEED1-5A77-4CC3-8E67-1F11848546F2}">
  <dimension ref="A1:K52"/>
  <sheetViews>
    <sheetView topLeftCell="A40" zoomScale="70" zoomScaleNormal="70" workbookViewId="0">
      <selection activeCell="G39" sqref="G39"/>
    </sheetView>
  </sheetViews>
  <sheetFormatPr baseColWidth="10" defaultColWidth="20.77734375" defaultRowHeight="40.049999999999997" customHeight="1"/>
  <cols>
    <col min="1" max="1" width="20.77734375" style="20"/>
    <col min="2" max="2" width="20.77734375" style="21"/>
    <col min="3" max="16384" width="20.77734375" style="20"/>
  </cols>
  <sheetData>
    <row r="1" spans="1:7" ht="40.049999999999997" customHeight="1">
      <c r="A1" s="31" t="s">
        <v>13</v>
      </c>
      <c r="B1" s="36" t="s">
        <v>15</v>
      </c>
      <c r="C1" s="31" t="s">
        <v>14</v>
      </c>
      <c r="D1" s="31" t="s">
        <v>16</v>
      </c>
      <c r="E1" s="31" t="s">
        <v>17</v>
      </c>
      <c r="F1" s="31" t="s">
        <v>18</v>
      </c>
      <c r="G1" s="31" t="s">
        <v>19</v>
      </c>
    </row>
    <row r="2" spans="1:7" ht="40.049999999999997" customHeight="1">
      <c r="A2" s="20" t="s">
        <v>10</v>
      </c>
      <c r="B2" s="21">
        <f>SUMIFS(Tableau1[[Projet]:[Projet]],Tableau1[[Date du devis]:[Date du devis]],"&gt;="&amp;DATE(TableauDevis[[#Headers],[2025]],1,1),Tableau1[[Date du devis]:[Date du devis]],"&lt;="&amp;DATE(TableauDevis[[#Headers],[2025]],12,31),Tableau1[[Statut du devis]:[Statut du devis]],"Émis")</f>
        <v>24001</v>
      </c>
      <c r="C2" s="21">
        <f>SUMIFS(Tableau1[[Projet]:[Projet]],Tableau1[[Date du devis]:[Date du devis]],"&gt;="&amp;DATE(TableauDevis[[#Headers],[2026]],1,1),Tableau1[[Date du devis]:[Date du devis]],"&lt;="&amp;DATE(TableauDevis[[#Headers],[2026]],12,31),Tableau1[[Statut du devis]:[Statut du devis]],"Émis")</f>
        <v>0</v>
      </c>
      <c r="D2" s="21">
        <f>SUMIFS(Tableau1[[Projet]:[Projet]],Tableau1[[Date du devis]:[Date du devis]],"&gt;="&amp;DATE(TableauDevis[[#Headers],[2027]],1,1),Tableau1[[Date du devis]:[Date du devis]],"&lt;="&amp;DATE(TableauDevis[[#Headers],[2027]],12,31),Tableau1[[Statut du devis]:[Statut du devis]],"Émis")</f>
        <v>0</v>
      </c>
      <c r="E2" s="21">
        <f>SUMIFS(Tableau1[[Projet]:[Projet]],Tableau1[[Date du devis]:[Date du devis]],"&gt;="&amp;DATE(TableauDevis[[#Headers],[2028]],1,1),Tableau1[[Date du devis]:[Date du devis]],"&lt;="&amp;DATE(TableauDevis[[#Headers],[2028]],12,31),Tableau1[[Statut du devis]:[Statut du devis]],"Émis")</f>
        <v>0</v>
      </c>
      <c r="F2" s="21">
        <f>SUMIFS(Tableau1[[Projet]:[Projet]],Tableau1[[Date du devis]:[Date du devis]],"&gt;="&amp;DATE(TableauDevis[[#Headers],[2029]],1,1),Tableau1[[Date du devis]:[Date du devis]],"&lt;="&amp;DATE(TableauDevis[[#Headers],[2029]],12,31),Tableau1[[Statut du devis]:[Statut du devis]],"Émis")</f>
        <v>0</v>
      </c>
      <c r="G2" s="21">
        <f>SUMIFS(Tableau1[[Projet]:[Projet]],Tableau1[[Date du devis]:[Date du devis]],"&gt;="&amp;DATE(TableauDevis[[#Headers],[2030]],1,1),Tableau1[[Date du devis]:[Date du devis]],"&lt;="&amp;DATE(TableauDevis[[#Headers],[2030]],12,31),Tableau1[[Statut du devis]:[Statut du devis]],"Émis")</f>
        <v>0</v>
      </c>
    </row>
    <row r="3" spans="1:7" ht="40.049999999999997" customHeight="1">
      <c r="A3" s="20" t="s">
        <v>12</v>
      </c>
      <c r="B3" s="21">
        <f>SUMIFS(Tableau1[[Projet]:[Projet]],Tableau1[[Date du devis]:[Date du devis]],"&gt;="&amp;DATE(TableauDevis[[#Headers],[2025]],1,1),Tableau1[[Date du devis]:[Date du devis]],"&lt;="&amp;DATE(TableauDevis[[#Headers],[2025]],12,31),Tableau1[[Statut du devis]:[Statut du devis]],"Suivi")</f>
        <v>27700</v>
      </c>
      <c r="C3" s="21">
        <f>SUMIFS(Tableau1[[Projet]:[Projet]],Tableau1[[Date du devis]:[Date du devis]],"&gt;="&amp;DATE(TableauDevis[[#Headers],[2026]],1,1),Tableau1[[Date du devis]:[Date du devis]],"&lt;="&amp;DATE(TableauDevis[[#Headers],[2026]],12,31),Tableau1[[Statut du devis]:[Statut du devis]],"Suivi")</f>
        <v>0</v>
      </c>
      <c r="D3" s="21">
        <f>SUMIFS(Tableau1[[Projet]:[Projet]],Tableau1[[Date du devis]:[Date du devis]],"&gt;="&amp;DATE(TableauDevis[[#Headers],[2027]],1,1),Tableau1[[Date du devis]:[Date du devis]],"&lt;="&amp;DATE(TableauDevis[[#Headers],[2027]],12,31),Tableau1[[Statut du devis]:[Statut du devis]],"Suivi")</f>
        <v>0</v>
      </c>
      <c r="E3" s="21">
        <f>SUMIFS(Tableau1[[Projet]:[Projet]],Tableau1[[Date du devis]:[Date du devis]],"&gt;="&amp;DATE(TableauDevis[[#Headers],[2028]],1,1),Tableau1[[Date du devis]:[Date du devis]],"&lt;="&amp;DATE(TableauDevis[[#Headers],[2028]],12,31),Tableau1[[Statut du devis]:[Statut du devis]],"Suivi")</f>
        <v>0</v>
      </c>
      <c r="F3" s="21">
        <f>SUMIFS(Tableau1[[Projet]:[Projet]],Tableau1[[Date du devis]:[Date du devis]],"&gt;="&amp;DATE(TableauDevis[[#Headers],[2029]],1,1),Tableau1[[Date du devis]:[Date du devis]],"&lt;="&amp;DATE(TableauDevis[[#Headers],[2029]],12,31),Tableau1[[Statut du devis]:[Statut du devis]],"Suivi")</f>
        <v>0</v>
      </c>
      <c r="G3" s="21">
        <f>SUMIFS(Tableau1[[Projet]:[Projet]],Tableau1[[Date du devis]:[Date du devis]],"&gt;="&amp;DATE(TableauDevis[[#Headers],[2030]],1,1),Tableau1[[Date du devis]:[Date du devis]],"&lt;="&amp;DATE(TableauDevis[[#Headers],[2030]],12,31),Tableau1[[Statut du devis]:[Statut du devis]],"Suivi")</f>
        <v>31000</v>
      </c>
    </row>
    <row r="4" spans="1:7" ht="40.049999999999997" customHeight="1">
      <c r="A4" s="20" t="s">
        <v>8</v>
      </c>
      <c r="B4" s="21">
        <f>SUMIFS(Tableau1[[Projet]:[Projet]],Tableau1[[Date du devis]:[Date du devis]],"&gt;="&amp;DATE(TableauDevis[[#Headers],[2025]],1,1),Tableau1[[Date du devis]:[Date du devis]],"&lt;="&amp;DATE(TableauDevis[[#Headers],[2025]],12,31),Tableau1[[Statut du devis]:[Statut du devis]],"Converti")</f>
        <v>253000</v>
      </c>
      <c r="C4" s="21">
        <f>SUMIFS(Tableau1[[Projet]:[Projet]],Tableau1[[Date du devis]:[Date du devis]],"&gt;="&amp;DATE(TableauDevis[[#Headers],[2026]],1,1),Tableau1[[Date du devis]:[Date du devis]],"&lt;="&amp;DATE(TableauDevis[[#Headers],[2026]],12,31),Tableau1[[Statut du devis]:[Statut du devis]],"Converti")</f>
        <v>95000</v>
      </c>
      <c r="D4" s="21">
        <f>SUMIFS(Tableau1[[Projet]:[Projet]],Tableau1[[Date du devis]:[Date du devis]],"&gt;="&amp;DATE(TableauDevis[[#Headers],[2027]],1,1),Tableau1[[Date du devis]:[Date du devis]],"&lt;="&amp;DATE(TableauDevis[[#Headers],[2027]],12,31),Tableau1[[Statut du devis]:[Statut du devis]],"Converti")</f>
        <v>23000</v>
      </c>
      <c r="E4" s="21">
        <f>SUMIFS(Tableau1[[Projet]:[Projet]],Tableau1[[Date du devis]:[Date du devis]],"&gt;="&amp;DATE(TableauDevis[[#Headers],[2028]],1,1),Tableau1[[Date du devis]:[Date du devis]],"&lt;="&amp;DATE(TableauDevis[[#Headers],[2028]],12,31),Tableau1[[Statut du devis]:[Statut du devis]],"Converti")</f>
        <v>42000</v>
      </c>
      <c r="F4" s="21">
        <f>SUMIFS(Tableau1[[Projet]:[Projet]],Tableau1[[Date du devis]:[Date du devis]],"&gt;="&amp;DATE(TableauDevis[[#Headers],[2029]],1,1),Tableau1[[Date du devis]:[Date du devis]],"&lt;="&amp;DATE(TableauDevis[[#Headers],[2029]],12,31),Tableau1[[Statut du devis]:[Statut du devis]],"Converti")</f>
        <v>29000</v>
      </c>
      <c r="G4" s="21">
        <f>SUMIFS(Tableau1[[Projet]:[Projet]],Tableau1[[Date du devis]:[Date du devis]],"&gt;="&amp;DATE(TableauDevis[[#Headers],[2030]],1,1),Tableau1[[Date du devis]:[Date du devis]],"&lt;="&amp;DATE(TableauDevis[[#Headers],[2030]],12,31),Tableau1[[Statut du devis]:[Statut du devis]],"Converti")</f>
        <v>32000</v>
      </c>
    </row>
    <row r="5" spans="1:7" ht="40.049999999999997" customHeight="1">
      <c r="A5" s="20" t="s">
        <v>9</v>
      </c>
      <c r="B5" s="21">
        <f>SUMIFS(Tableau1[[Projet]:[Projet]],Tableau1[[Date du devis]:[Date du devis]],"&gt;="&amp;DATE(TableauDevis[[#Headers],[2025]],1,1),Tableau1[[Date du devis]:[Date du devis]],"&lt;="&amp;DATE(TableauDevis[[#Headers],[2025]],12,31),Tableau1[[Statut du devis]:[Statut du devis]],"Non-converti")</f>
        <v>28000</v>
      </c>
      <c r="C5" s="21">
        <f>SUMIFS(Tableau1[[Projet]:[Projet]],Tableau1[[Date du devis]:[Date du devis]],"&gt;="&amp;DATE(TableauDevis[[#Headers],[2026]],1,1),Tableau1[[Date du devis]:[Date du devis]],"&lt;="&amp;DATE(TableauDevis[[#Headers],[2026]],12,31),Tableau1[[Statut du devis]:[Statut du devis]],"Non-converti")</f>
        <v>0</v>
      </c>
      <c r="D5" s="21">
        <f>SUMIFS(Tableau1[[Projet]:[Projet]],Tableau1[[Date du devis]:[Date du devis]],"&gt;="&amp;DATE(TableauDevis[[#Headers],[2027]],1,1),Tableau1[[Date du devis]:[Date du devis]],"&lt;="&amp;DATE(TableauDevis[[#Headers],[2027]],12,31),Tableau1[[Statut du devis]:[Statut du devis]],"Non-converti")</f>
        <v>0</v>
      </c>
      <c r="E5" s="21">
        <f>SUMIFS(Tableau1[[Projet]:[Projet]],Tableau1[[Date du devis]:[Date du devis]],"&gt;="&amp;DATE(TableauDevis[[#Headers],[2028]],1,1),Tableau1[[Date du devis]:[Date du devis]],"&lt;="&amp;DATE(TableauDevis[[#Headers],[2028]],12,31),Tableau1[[Statut du devis]:[Statut du devis]],"Non-converti")</f>
        <v>0</v>
      </c>
      <c r="F5" s="21">
        <f>SUMIFS(Tableau1[[Projet]:[Projet]],Tableau1[[Date du devis]:[Date du devis]],"&gt;="&amp;DATE(TableauDevis[[#Headers],[2029]],1,1),Tableau1[[Date du devis]:[Date du devis]],"&lt;="&amp;DATE(TableauDevis[[#Headers],[2029]],12,31),Tableau1[[Statut du devis]:[Statut du devis]],"Non-converti")</f>
        <v>27000</v>
      </c>
      <c r="G5" s="21">
        <f>SUMIFS(Tableau1[[Projet]:[Projet]],Tableau1[[Date du devis]:[Date du devis]],"&gt;="&amp;DATE(TableauDevis[[#Headers],[2030]],1,1),Tableau1[[Date du devis]:[Date du devis]],"&lt;="&amp;DATE(TableauDevis[[#Headers],[2030]],12,31),Tableau1[[Statut du devis]:[Statut du devis]],"Non-converti")</f>
        <v>0</v>
      </c>
    </row>
    <row r="6" spans="1:7" ht="40.049999999999997" customHeight="1">
      <c r="A6" s="20" t="s">
        <v>38</v>
      </c>
      <c r="B6" s="21">
        <f>SUM(TableauDevis[2025])</f>
        <v>332701</v>
      </c>
      <c r="C6" s="21"/>
      <c r="D6" s="21"/>
      <c r="E6" s="21"/>
      <c r="F6" s="21"/>
      <c r="G6" s="21"/>
    </row>
    <row r="7" spans="1:7" ht="40.049999999999997" customHeight="1">
      <c r="B7" s="20"/>
    </row>
    <row r="8" spans="1:7" ht="40.049999999999997" customHeight="1">
      <c r="A8" s="31" t="s">
        <v>27</v>
      </c>
      <c r="B8" s="31" t="s">
        <v>15</v>
      </c>
      <c r="C8" s="31" t="s">
        <v>14</v>
      </c>
      <c r="D8" s="31" t="s">
        <v>16</v>
      </c>
      <c r="E8" s="31" t="s">
        <v>17</v>
      </c>
      <c r="F8" s="31" t="s">
        <v>18</v>
      </c>
      <c r="G8" s="31" t="s">
        <v>19</v>
      </c>
    </row>
    <row r="9" spans="1:7" ht="40.049999999999997" customHeight="1">
      <c r="A9" s="20" t="s">
        <v>10</v>
      </c>
      <c r="B9" s="32">
        <f>IFERROR(B23/SUM(TableauNombre[2025]),"")</f>
        <v>0.1</v>
      </c>
      <c r="C9" s="32">
        <f>IFERROR(C23/SUM(TableauNombre[2026]),"")</f>
        <v>0</v>
      </c>
      <c r="D9" s="32">
        <f>IFERROR(D23/SUM(TableauNombre[2027]),"")</f>
        <v>0</v>
      </c>
      <c r="E9" s="32">
        <f>IFERROR(E23/SUM(TableauNombre[2028]),"")</f>
        <v>0</v>
      </c>
      <c r="F9" s="32">
        <f>IFERROR(F23/SUM(TableauNombre[2029]),"")</f>
        <v>0</v>
      </c>
      <c r="G9" s="32">
        <f>IFERROR(G23/SUM(TableauNombre[2030]),"")</f>
        <v>0</v>
      </c>
    </row>
    <row r="10" spans="1:7" ht="40.049999999999997" customHeight="1">
      <c r="A10" s="20" t="s">
        <v>12</v>
      </c>
      <c r="B10" s="32">
        <f>IFERROR(B24/SUM(TableauNombre[2025]),"")</f>
        <v>0.1</v>
      </c>
      <c r="C10" s="32">
        <f>IFERROR(C24/SUM(TableauNombre[2026]),"")</f>
        <v>0</v>
      </c>
      <c r="D10" s="32">
        <f>IFERROR(D24/SUM(TableauNombre[2027]),"")</f>
        <v>0</v>
      </c>
      <c r="E10" s="32">
        <f>IFERROR(E24/SUM(TableauNombre[2028]),"")</f>
        <v>0</v>
      </c>
      <c r="F10" s="32">
        <f>IFERROR(F24/SUM(TableauNombre[2029]),"")</f>
        <v>0</v>
      </c>
      <c r="G10" s="32">
        <f>IFERROR(G24/SUM(TableauNombre[2030]),"")</f>
        <v>0.5</v>
      </c>
    </row>
    <row r="11" spans="1:7" ht="40.049999999999997" customHeight="1">
      <c r="A11" s="20" t="s">
        <v>8</v>
      </c>
      <c r="B11" s="32">
        <f>IFERROR(B25/SUM(TableauNombre[2025]),"")</f>
        <v>0.7</v>
      </c>
      <c r="C11" s="32">
        <f>IFERROR(C25/SUM(TableauNombre[2026]),"")</f>
        <v>1</v>
      </c>
      <c r="D11" s="32">
        <f>IFERROR(D25/SUM(TableauNombre[2027]),"")</f>
        <v>1</v>
      </c>
      <c r="E11" s="32">
        <f>IFERROR(E25/SUM(TableauNombre[2028]),"")</f>
        <v>1</v>
      </c>
      <c r="F11" s="32">
        <f>IFERROR(F25/SUM(TableauNombre[2029]),"")</f>
        <v>0.5</v>
      </c>
      <c r="G11" s="32">
        <f>IFERROR(G25/SUM(TableauNombre[2030]),"")</f>
        <v>0.5</v>
      </c>
    </row>
    <row r="12" spans="1:7" ht="40.049999999999997" customHeight="1">
      <c r="A12" s="20" t="s">
        <v>9</v>
      </c>
      <c r="B12" s="32">
        <f>IFERROR(B26/SUM(TableauNombre[2025]),"")</f>
        <v>0.1</v>
      </c>
      <c r="C12" s="32">
        <f>IFERROR(C26/SUM(TableauNombre[2026]),"")</f>
        <v>0</v>
      </c>
      <c r="D12" s="32">
        <f>IFERROR(D26/SUM(TableauNombre[2027]),"")</f>
        <v>0</v>
      </c>
      <c r="E12" s="32">
        <f>IFERROR(E26/SUM(TableauNombre[2028]),"")</f>
        <v>0</v>
      </c>
      <c r="F12" s="32">
        <f>IFERROR(F26/SUM(TableauNombre[2029]),"")</f>
        <v>0.5</v>
      </c>
      <c r="G12" s="32">
        <f>IFERROR(G26/SUM(TableauNombre[2030]),"")</f>
        <v>0</v>
      </c>
    </row>
    <row r="13" spans="1:7" ht="40.049999999999997" customHeight="1">
      <c r="B13" s="20"/>
    </row>
    <row r="14" spans="1:7" ht="40.049999999999997" customHeight="1">
      <c r="A14" s="37" t="s">
        <v>28</v>
      </c>
      <c r="B14" s="38" t="s">
        <v>26</v>
      </c>
      <c r="C14" s="39" cm="1">
        <f t="array" ref="C14">AVERAGE(IF(Tableau1[Statut du devis]="Converti",(Tableau1[Date de vente]-Tableau1[Date du devis])/30, ""))</f>
        <v>2.333333333333333</v>
      </c>
      <c r="D14" s="38" t="s">
        <v>29</v>
      </c>
      <c r="E14" s="40" cm="1">
        <f t="array" ref="E14">AVERAGE(IF(Tableau1[Statut du devis]="Converti",(Tableau1[Date de vente]-Tableau1[Date du devis])/7, ""))</f>
        <v>9.9999999999999982</v>
      </c>
      <c r="F14" s="38" t="s">
        <v>30</v>
      </c>
      <c r="G14" s="41" cm="1">
        <f t="array" ref="G14">AVERAGE(IF(Tableau1[Statut du devis]="Converti",Tableau1[Date de vente]-Tableau1[Date du devis], ""))</f>
        <v>70</v>
      </c>
    </row>
    <row r="15" spans="1:7" ht="40.049999999999997" customHeight="1">
      <c r="B15" s="20"/>
    </row>
    <row r="16" spans="1:7" ht="40.049999999999997" customHeight="1">
      <c r="A16" s="31" t="s">
        <v>23</v>
      </c>
      <c r="B16" s="31" t="s">
        <v>15</v>
      </c>
      <c r="C16" s="31" t="s">
        <v>14</v>
      </c>
      <c r="D16" s="31" t="s">
        <v>16</v>
      </c>
      <c r="E16" s="31" t="s">
        <v>17</v>
      </c>
      <c r="F16" s="31" t="s">
        <v>18</v>
      </c>
      <c r="G16" s="31" t="s">
        <v>19</v>
      </c>
    </row>
    <row r="17" spans="1:7" ht="40.049999999999997" customHeight="1">
      <c r="A17" s="20" t="s">
        <v>10</v>
      </c>
      <c r="B17" s="21">
        <f>IFERROR(SUMIFS(Tableau1[[Projet]:[Projet]], Tableau1[[Date du devis]:[Date du devis]],"&gt;="&amp;DATE(TableauPaniermoyen[[#Headers],[2025]],1,1),Tableau1[[Date du devis]:[Date du devis]],"&lt;="&amp;DATE(TableauPaniermoyen[[#Headers],[2025]],12,31),Tableau1[[Statut du devis]:[Statut du devis]],"Émis")/COUNTIFS(Tableau1[[Statut du devis]:[Statut du devis]],"Émis", Tableau1[[Date du devis]:[Date du devis]],"&gt;="&amp;DATE(TableauPaniermoyen[[#Headers],[2025]],1,1),Tableau1[[Date du devis]:[Date du devis]],"&lt;="&amp;DATE(TableauPaniermoyen[[#Headers],[2025]],12,31)),"")</f>
        <v>24001</v>
      </c>
      <c r="C17" s="21" t="str">
        <f>IFERROR(SUMIFS(Tableau1[[Projet]:[Projet]], Tableau1[[Date du devis]:[Date du devis]],"&gt;="&amp;DATE(TableauPaniermoyen[[#Headers],[2026]],1,1),Tableau1[[Date du devis]:[Date du devis]],"&lt;="&amp;DATE(TableauPaniermoyen[[#Headers],[2026]],12,31),Tableau1[[Statut du devis]:[Statut du devis]],"Émis")/COUNTIFS(Tableau1[[Statut du devis]:[Statut du devis]],"Émis", Tableau1[[Date du devis]:[Date du devis]],"&gt;="&amp;DATE(TableauPaniermoyen[[#Headers],[2026]],1,1),Tableau1[[Date du devis]:[Date du devis]],"&lt;="&amp;DATE(TableauPaniermoyen[[#Headers],[2026]],12,31)),"")</f>
        <v/>
      </c>
      <c r="D17" s="21" t="str">
        <f>IFERROR(SUMIFS(Tableau1[[Projet]:[Projet]], Tableau1[[Date du devis]:[Date du devis]],"&gt;="&amp;DATE(TableauPaniermoyen[[#Headers],[2027]],1,1),Tableau1[[Date du devis]:[Date du devis]],"&lt;="&amp;DATE(TableauPaniermoyen[[#Headers],[2027]],12,31),Tableau1[[Statut du devis]:[Statut du devis]],"Émis")/COUNTIFS(Tableau1[[Statut du devis]:[Statut du devis]],"Émis", Tableau1[[Date du devis]:[Date du devis]],"&gt;="&amp;DATE(TableauPaniermoyen[[#Headers],[2027]],1,1),Tableau1[[Date du devis]:[Date du devis]],"&lt;="&amp;DATE(TableauPaniermoyen[[#Headers],[2027]],12,31)),"")</f>
        <v/>
      </c>
      <c r="E17" s="21" t="str">
        <f>IFERROR(SUMIFS(Tableau1[[Projet]:[Projet]], Tableau1[[Date du devis]:[Date du devis]],"&gt;="&amp;DATE(TableauPaniermoyen[[#Headers],[2028]],1,1),Tableau1[[Date du devis]:[Date du devis]],"&lt;="&amp;DATE(TableauPaniermoyen[[#Headers],[2028]],12,31),Tableau1[[Statut du devis]:[Statut du devis]],"Émis")/COUNTIFS(Tableau1[[Statut du devis]:[Statut du devis]],"Émis", Tableau1[[Date du devis]:[Date du devis]],"&gt;="&amp;DATE(TableauPaniermoyen[[#Headers],[2028]],1,1),Tableau1[[Date du devis]:[Date du devis]],"&lt;="&amp;DATE(TableauPaniermoyen[[#Headers],[2028]],12,31)),"")</f>
        <v/>
      </c>
      <c r="F17" s="21" t="str">
        <f>IFERROR(SUMIFS(Tableau1[[Projet]:[Projet]], Tableau1[[Date du devis]:[Date du devis]],"&gt;="&amp;DATE(TableauPaniermoyen[[#Headers],[2029]],1,1),Tableau1[[Date du devis]:[Date du devis]],"&lt;="&amp;DATE(TableauPaniermoyen[[#Headers],[2029]],12,31),Tableau1[[Statut du devis]:[Statut du devis]],"Émis")/COUNTIFS(Tableau1[[Statut du devis]:[Statut du devis]],"Émis", Tableau1[[Date du devis]:[Date du devis]],"&gt;="&amp;DATE(TableauPaniermoyen[[#Headers],[2029]],1,1),Tableau1[[Date du devis]:[Date du devis]],"&lt;="&amp;DATE(TableauPaniermoyen[[#Headers],[2029]],12,31)),"")</f>
        <v/>
      </c>
      <c r="G17" s="21" t="str">
        <f>IFERROR(SUMIFS(Tableau1[[Projet]:[Projet]], Tableau1[[Date du devis]:[Date du devis]],"&gt;="&amp;DATE(TableauPaniermoyen[[#Headers],[2030]],1,1),Tableau1[[Date du devis]:[Date du devis]],"&lt;="&amp;DATE(TableauPaniermoyen[[#Headers],[2030]],12,31),Tableau1[[Statut du devis]:[Statut du devis]],"Émis")/COUNTIFS(Tableau1[[Statut du devis]:[Statut du devis]],"Émis", Tableau1[[Date du devis]:[Date du devis]],"&gt;="&amp;DATE(TableauPaniermoyen[[#Headers],[2030]],1,1),Tableau1[[Date du devis]:[Date du devis]],"&lt;="&amp;DATE(TableauPaniermoyen[[#Headers],[2030]],12,31)),"")</f>
        <v/>
      </c>
    </row>
    <row r="18" spans="1:7" ht="40.049999999999997" customHeight="1">
      <c r="A18" s="20" t="s">
        <v>12</v>
      </c>
      <c r="B18" s="21">
        <f>IFERROR(SUMIFS(Tableau1[[Projet]:[Projet]], Tableau1[[Date du devis]:[Date du devis]],"&gt;="&amp;DATE(TableauPaniermoyen[[#Headers],[2025]],1,1),Tableau1[[Date du devis]:[Date du devis]],"&lt;="&amp;DATE(TableauPaniermoyen[[#Headers],[2025]],12,31),Tableau1[[Statut du devis]:[Statut du devis]],"Suivi")/COUNTIFS(Tableau1[[Statut du devis]:[Statut du devis]],"Suivi", Tableau1[[Date du devis]:[Date du devis]],"&gt;="&amp;DATE(TableauPaniermoyen[[#Headers],[2025]],1,1),Tableau1[[Date du devis]:[Date du devis]],"&lt;="&amp;DATE(TableauPaniermoyen[[#Headers],[2025]],12,31)),"")</f>
        <v>27700</v>
      </c>
      <c r="C18" s="21" t="str">
        <f>IFERROR(SUMIFS(Tableau1[[Projet]:[Projet]], Tableau1[[Date du devis]:[Date du devis]],"&gt;="&amp;DATE(TableauPaniermoyen[[#Headers],[2026]],1,1),Tableau1[[Date du devis]:[Date du devis]],"&lt;="&amp;DATE(TableauPaniermoyen[[#Headers],[2026]],12,31),Tableau1[[Statut du devis]:[Statut du devis]],"Suivi")/COUNTIFS(Tableau1[[Statut du devis]:[Statut du devis]],"Suivi", Tableau1[[Date du devis]:[Date du devis]],"&gt;="&amp;DATE(TableauPaniermoyen[[#Headers],[2026]],1,1),Tableau1[[Date du devis]:[Date du devis]],"&lt;="&amp;DATE(TableauPaniermoyen[[#Headers],[2026]],12,31)),"")</f>
        <v/>
      </c>
      <c r="D18" s="21" t="str">
        <f>IFERROR(SUMIFS(Tableau1[[Projet]:[Projet]], Tableau1[[Date du devis]:[Date du devis]],"&gt;="&amp;DATE(TableauPaniermoyen[[#Headers],[2027]],1,1),Tableau1[[Date du devis]:[Date du devis]],"&lt;="&amp;DATE(TableauPaniermoyen[[#Headers],[2027]],12,31),Tableau1[[Statut du devis]:[Statut du devis]],"Suivi")/COUNTIFS(Tableau1[[Statut du devis]:[Statut du devis]],"Suivi", Tableau1[[Date du devis]:[Date du devis]],"&gt;="&amp;DATE(TableauPaniermoyen[[#Headers],[2027]],1,1),Tableau1[[Date du devis]:[Date du devis]],"&lt;="&amp;DATE(TableauPaniermoyen[[#Headers],[2027]],12,31)),"")</f>
        <v/>
      </c>
      <c r="E18" s="21" t="str">
        <f>IFERROR(SUMIFS(Tableau1[[Projet]:[Projet]], Tableau1[[Date du devis]:[Date du devis]],"&gt;="&amp;DATE(TableauPaniermoyen[[#Headers],[2028]],1,1),Tableau1[[Date du devis]:[Date du devis]],"&lt;="&amp;DATE(TableauPaniermoyen[[#Headers],[2028]],12,31),Tableau1[[Statut du devis]:[Statut du devis]],"Suivi")/COUNTIFS(Tableau1[[Statut du devis]:[Statut du devis]],"Suivi", Tableau1[[Date du devis]:[Date du devis]],"&gt;="&amp;DATE(TableauPaniermoyen[[#Headers],[2028]],1,1),Tableau1[[Date du devis]:[Date du devis]],"&lt;="&amp;DATE(TableauPaniermoyen[[#Headers],[2028]],12,31)),"")</f>
        <v/>
      </c>
      <c r="F18" s="21" t="str">
        <f>IFERROR(SUMIFS(Tableau1[[Projet]:[Projet]], Tableau1[[Date du devis]:[Date du devis]],"&gt;="&amp;DATE(TableauPaniermoyen[[#Headers],[2029]],1,1),Tableau1[[Date du devis]:[Date du devis]],"&lt;="&amp;DATE(TableauPaniermoyen[[#Headers],[2029]],12,31),Tableau1[[Statut du devis]:[Statut du devis]],"Suivi")/COUNTIFS(Tableau1[[Statut du devis]:[Statut du devis]],"Suivi", Tableau1[[Date du devis]:[Date du devis]],"&gt;="&amp;DATE(TableauPaniermoyen[[#Headers],[2029]],1,1),Tableau1[[Date du devis]:[Date du devis]],"&lt;="&amp;DATE(TableauPaniermoyen[[#Headers],[2029]],12,31)),"")</f>
        <v/>
      </c>
      <c r="G18" s="21">
        <f>IFERROR(SUMIFS(Tableau1[[Projet]:[Projet]], Tableau1[[Date du devis]:[Date du devis]],"&gt;="&amp;DATE(TableauPaniermoyen[[#Headers],[2030]],1,1),Tableau1[[Date du devis]:[Date du devis]],"&lt;="&amp;DATE(TableauPaniermoyen[[#Headers],[2030]],12,31),Tableau1[[Statut du devis]:[Statut du devis]],"Suivi")/COUNTIFS(Tableau1[[Statut du devis]:[Statut du devis]],"Suivi", Tableau1[[Date du devis]:[Date du devis]],"&gt;="&amp;DATE(TableauPaniermoyen[[#Headers],[2030]],1,1),Tableau1[[Date du devis]:[Date du devis]],"&lt;="&amp;DATE(TableauPaniermoyen[[#Headers],[2030]],12,31)),"")</f>
        <v>31000</v>
      </c>
    </row>
    <row r="19" spans="1:7" ht="40.049999999999997" customHeight="1">
      <c r="A19" s="20" t="s">
        <v>8</v>
      </c>
      <c r="B19" s="21">
        <f>IFERROR(SUMIFS(Tableau1[[Projet]:[Projet]], Tableau1[[Date du devis]:[Date du devis]],"&gt;="&amp;DATE(TableauPaniermoyen[[#Headers],[2025]],1,1),Tableau1[[Date du devis]:[Date du devis]],"&lt;="&amp;DATE(TableauPaniermoyen[[#Headers],[2025]],12,31),Tableau1[[Statut du devis]:[Statut du devis]],"Converti")/COUNTIFS(Tableau1[[Statut du devis]:[Statut du devis]],"Converti", Tableau1[[Date du devis]:[Date du devis]],"&gt;="&amp;DATE(TableauPaniermoyen[[#Headers],[2025]],1,1),Tableau1[[Date du devis]:[Date du devis]],"&lt;="&amp;DATE(TableauPaniermoyen[[#Headers],[2025]],12,31)),"")</f>
        <v>36142.857142857145</v>
      </c>
      <c r="C19" s="21">
        <f>IFERROR(SUMIFS(Tableau1[[Projet]:[Projet]], Tableau1[[Date du devis]:[Date du devis]],"&gt;="&amp;DATE(TableauPaniermoyen[[#Headers],[2026]],1,1),Tableau1[[Date du devis]:[Date du devis]],"&lt;="&amp;DATE(TableauPaniermoyen[[#Headers],[2026]],12,31),Tableau1[[Statut du devis]:[Statut du devis]],"Converti")/COUNTIFS(Tableau1[[Statut du devis]:[Statut du devis]],"Converti", Tableau1[[Date du devis]:[Date du devis]],"&gt;="&amp;DATE(TableauPaniermoyen[[#Headers],[2026]],1,1),Tableau1[[Date du devis]:[Date du devis]],"&lt;="&amp;DATE(TableauPaniermoyen[[#Headers],[2026]],12,31)),"")</f>
        <v>47500</v>
      </c>
      <c r="D19" s="21">
        <f>IFERROR(SUMIFS(Tableau1[[Projet]:[Projet]], Tableau1[[Date du devis]:[Date du devis]],"&gt;="&amp;DATE(TableauPaniermoyen[[#Headers],[2027]],1,1),Tableau1[[Date du devis]:[Date du devis]],"&lt;="&amp;DATE(TableauPaniermoyen[[#Headers],[2027]],12,31),Tableau1[[Statut du devis]:[Statut du devis]],"Converti")/COUNTIFS(Tableau1[[Statut du devis]:[Statut du devis]],"Converti", Tableau1[[Date du devis]:[Date du devis]],"&gt;="&amp;DATE(TableauPaniermoyen[[#Headers],[2027]],1,1),Tableau1[[Date du devis]:[Date du devis]],"&lt;="&amp;DATE(TableauPaniermoyen[[#Headers],[2027]],12,31)),"")</f>
        <v>23000</v>
      </c>
      <c r="E19" s="21">
        <f>IFERROR(SUMIFS(Tableau1[[Projet]:[Projet]], Tableau1[[Date du devis]:[Date du devis]],"&gt;="&amp;DATE(TableauPaniermoyen[[#Headers],[2028]],1,1),Tableau1[[Date du devis]:[Date du devis]],"&lt;="&amp;DATE(TableauPaniermoyen[[#Headers],[2028]],12,31),Tableau1[[Statut du devis]:[Statut du devis]],"Converti")/COUNTIFS(Tableau1[[Statut du devis]:[Statut du devis]],"Converti", Tableau1[[Date du devis]:[Date du devis]],"&gt;="&amp;DATE(TableauPaniermoyen[[#Headers],[2028]],1,1),Tableau1[[Date du devis]:[Date du devis]],"&lt;="&amp;DATE(TableauPaniermoyen[[#Headers],[2028]],12,31)),"")</f>
        <v>42000</v>
      </c>
      <c r="F19" s="21">
        <f>IFERROR(SUMIFS(Tableau1[[Projet]:[Projet]], Tableau1[[Date du devis]:[Date du devis]],"&gt;="&amp;DATE(TableauPaniermoyen[[#Headers],[2029]],1,1),Tableau1[[Date du devis]:[Date du devis]],"&lt;="&amp;DATE(TableauPaniermoyen[[#Headers],[2029]],12,31),Tableau1[[Statut du devis]:[Statut du devis]],"Converti")/COUNTIFS(Tableau1[[Statut du devis]:[Statut du devis]],"Converti", Tableau1[[Date du devis]:[Date du devis]],"&gt;="&amp;DATE(TableauPaniermoyen[[#Headers],[2029]],1,1),Tableau1[[Date du devis]:[Date du devis]],"&lt;="&amp;DATE(TableauPaniermoyen[[#Headers],[2029]],12,31)),"")</f>
        <v>29000</v>
      </c>
      <c r="G19" s="21">
        <f>IFERROR(SUMIFS(Tableau1[[Projet]:[Projet]], Tableau1[[Date du devis]:[Date du devis]],"&gt;="&amp;DATE(TableauPaniermoyen[[#Headers],[2030]],1,1),Tableau1[[Date du devis]:[Date du devis]],"&lt;="&amp;DATE(TableauPaniermoyen[[#Headers],[2030]],12,31),Tableau1[[Statut du devis]:[Statut du devis]],"Converti")/COUNTIFS(Tableau1[[Statut du devis]:[Statut du devis]],"Converti", Tableau1[[Date du devis]:[Date du devis]],"&gt;="&amp;DATE(TableauPaniermoyen[[#Headers],[2030]],1,1),Tableau1[[Date du devis]:[Date du devis]],"&lt;="&amp;DATE(TableauPaniermoyen[[#Headers],[2030]],12,31)),"")</f>
        <v>32000</v>
      </c>
    </row>
    <row r="20" spans="1:7" ht="40.049999999999997" customHeight="1">
      <c r="A20" s="20" t="s">
        <v>9</v>
      </c>
      <c r="B20" s="21">
        <f>IFERROR(SUMIFS(Tableau1[[Projet]:[Projet]], Tableau1[[Date du devis]:[Date du devis]],"&gt;="&amp;DATE(TableauPaniermoyen[[#Headers],[2025]],1,1),Tableau1[[Date du devis]:[Date du devis]],"&lt;="&amp;DATE(TableauPaniermoyen[[#Headers],[2025]],12,31),Tableau1[[Statut du devis]:[Statut du devis]],"Non-converti")/COUNTIFS(Tableau1[[Statut du devis]:[Statut du devis]],"Non-converti", Tableau1[[Date du devis]:[Date du devis]],"&gt;="&amp;DATE(TableauPaniermoyen[[#Headers],[2025]],1,1),Tableau1[[Date du devis]:[Date du devis]],"&lt;="&amp;DATE(TableauPaniermoyen[[#Headers],[2025]],12,31)),"")</f>
        <v>28000</v>
      </c>
      <c r="C20" s="21" t="str">
        <f>IFERROR(SUMIFS(Tableau1[[Projet]:[Projet]], Tableau1[[Date du devis]:[Date du devis]],"&gt;="&amp;DATE(TableauPaniermoyen[[#Headers],[2026]],1,1),Tableau1[[Date du devis]:[Date du devis]],"&lt;="&amp;DATE(TableauPaniermoyen[[#Headers],[2026]],12,31),Tableau1[[Statut du devis]:[Statut du devis]],"Non-converti")/COUNTIFS(Tableau1[[Statut du devis]:[Statut du devis]],"Non-converti", Tableau1[[Date du devis]:[Date du devis]],"&gt;="&amp;DATE(TableauPaniermoyen[[#Headers],[2026]],1,1),Tableau1[[Date du devis]:[Date du devis]],"&lt;="&amp;DATE(TableauPaniermoyen[[#Headers],[2026]],12,31)),"")</f>
        <v/>
      </c>
      <c r="D20" s="21" t="str">
        <f>IFERROR(SUMIFS(Tableau1[[Projet]:[Projet]], Tableau1[[Date du devis]:[Date du devis]],"&gt;="&amp;DATE(TableauPaniermoyen[[#Headers],[2027]],1,1),Tableau1[[Date du devis]:[Date du devis]],"&lt;="&amp;DATE(TableauPaniermoyen[[#Headers],[2027]],12,31),Tableau1[[Statut du devis]:[Statut du devis]],"Non-converti")/COUNTIFS(Tableau1[[Statut du devis]:[Statut du devis]],"Non-converti", Tableau1[[Date du devis]:[Date du devis]],"&gt;="&amp;DATE(TableauPaniermoyen[[#Headers],[2027]],1,1),Tableau1[[Date du devis]:[Date du devis]],"&lt;="&amp;DATE(TableauPaniermoyen[[#Headers],[2027]],12,31)),"")</f>
        <v/>
      </c>
      <c r="E20" s="21" t="str">
        <f>IFERROR(SUMIFS(Tableau1[[Projet]:[Projet]], Tableau1[[Date du devis]:[Date du devis]],"&gt;="&amp;DATE(TableauPaniermoyen[[#Headers],[2028]],1,1),Tableau1[[Date du devis]:[Date du devis]],"&lt;="&amp;DATE(TableauPaniermoyen[[#Headers],[2028]],12,31),Tableau1[[Statut du devis]:[Statut du devis]],"Non-converti")/COUNTIFS(Tableau1[[Statut du devis]:[Statut du devis]],"Non-converti", Tableau1[[Date du devis]:[Date du devis]],"&gt;="&amp;DATE(TableauPaniermoyen[[#Headers],[2028]],1,1),Tableau1[[Date du devis]:[Date du devis]],"&lt;="&amp;DATE(TableauPaniermoyen[[#Headers],[2028]],12,31)),"")</f>
        <v/>
      </c>
      <c r="F20" s="21">
        <f>IFERROR(SUMIFS(Tableau1[[Projet]:[Projet]], Tableau1[[Date du devis]:[Date du devis]],"&gt;="&amp;DATE(TableauPaniermoyen[[#Headers],[2029]],1,1),Tableau1[[Date du devis]:[Date du devis]],"&lt;="&amp;DATE(TableauPaniermoyen[[#Headers],[2029]],12,31),Tableau1[[Statut du devis]:[Statut du devis]],"Non-converti")/COUNTIFS(Tableau1[[Statut du devis]:[Statut du devis]],"Non-converti", Tableau1[[Date du devis]:[Date du devis]],"&gt;="&amp;DATE(TableauPaniermoyen[[#Headers],[2029]],1,1),Tableau1[[Date du devis]:[Date du devis]],"&lt;="&amp;DATE(TableauPaniermoyen[[#Headers],[2029]],12,31)),"")</f>
        <v>27000</v>
      </c>
      <c r="G20" s="21" t="str">
        <f>IFERROR(SUMIFS(Tableau1[[Projet]:[Projet]], Tableau1[[Date du devis]:[Date du devis]],"&gt;="&amp;DATE(TableauPaniermoyen[[#Headers],[2030]],1,1),Tableau1[[Date du devis]:[Date du devis]],"&lt;="&amp;DATE(TableauPaniermoyen[[#Headers],[2030]],12,31),Tableau1[[Statut du devis]:[Statut du devis]],"Non-converti")/COUNTIFS(Tableau1[[Statut du devis]:[Statut du devis]],"Non-converti", Tableau1[[Date du devis]:[Date du devis]],"&gt;="&amp;DATE(TableauPaniermoyen[[#Headers],[2030]],1,1),Tableau1[[Date du devis]:[Date du devis]],"&lt;="&amp;DATE(TableauPaniermoyen[[#Headers],[2030]],12,31)),"")</f>
        <v/>
      </c>
    </row>
    <row r="21" spans="1:7" ht="40.049999999999997" customHeight="1">
      <c r="B21" s="20"/>
    </row>
    <row r="22" spans="1:7" ht="40.049999999999997" customHeight="1">
      <c r="A22" s="31" t="s">
        <v>24</v>
      </c>
      <c r="B22" s="31" t="s">
        <v>15</v>
      </c>
      <c r="C22" s="31" t="s">
        <v>14</v>
      </c>
      <c r="D22" s="31" t="s">
        <v>16</v>
      </c>
      <c r="E22" s="31" t="s">
        <v>17</v>
      </c>
      <c r="F22" s="31" t="s">
        <v>18</v>
      </c>
      <c r="G22" s="31" t="s">
        <v>19</v>
      </c>
    </row>
    <row r="23" spans="1:7" ht="40.049999999999997" customHeight="1">
      <c r="A23" s="20" t="s">
        <v>10</v>
      </c>
      <c r="B23" s="20">
        <f>COUNTIFS(Tableau1[[Statut du devis]:[Statut du devis]],"Émis",Tableau1[[Date du devis]:[Date du devis]],"&gt;="&amp;DATE(TableauNombre[[#Headers],[2025]],1,1),Tableau1[[Date du devis]:[Date du devis]],"&lt;="&amp;DATE(TableauNombre[[#Headers],[2025]],12,31))</f>
        <v>1</v>
      </c>
      <c r="C23" s="20">
        <f>COUNTIFS(Tableau1[[Statut du devis]:[Statut du devis]],"Émis",Tableau1[[Date du devis]:[Date du devis]],"&gt;="&amp;DATE(TableauNombre[[#Headers],[2026]],1,1),Tableau1[[Date du devis]:[Date du devis]],"&lt;="&amp;DATE(TableauNombre[[#Headers],[2026]],12,31))</f>
        <v>0</v>
      </c>
      <c r="D23" s="20">
        <f>COUNTIFS(Tableau1[[Statut du devis]:[Statut du devis]],"Émis",Tableau1[[Date du devis]:[Date du devis]],"&gt;="&amp;DATE(TableauNombre[[#Headers],[2027]],1,1),Tableau1[[Date du devis]:[Date du devis]],"&lt;="&amp;DATE(TableauNombre[[#Headers],[2027]],12,31))</f>
        <v>0</v>
      </c>
      <c r="E23" s="20">
        <f>COUNTIFS(Tableau1[[Statut du devis]:[Statut du devis]],"Émis",Tableau1[[Date du devis]:[Date du devis]],"&gt;="&amp;DATE(TableauNombre[[#Headers],[2028]],1,1),Tableau1[[Date du devis]:[Date du devis]],"&lt;="&amp;DATE(TableauNombre[[#Headers],[2028]],12,31))</f>
        <v>0</v>
      </c>
      <c r="F23" s="20">
        <f>COUNTIFS(Tableau1[[Statut du devis]:[Statut du devis]],"Émis",Tableau1[[Date du devis]:[Date du devis]],"&gt;="&amp;DATE(TableauNombre[[#Headers],[2029]],1,1),Tableau1[[Date du devis]:[Date du devis]],"&lt;="&amp;DATE(TableauNombre[[#Headers],[2029]],12,31))</f>
        <v>0</v>
      </c>
      <c r="G23" s="20">
        <f>COUNTIFS(Tableau1[[Statut du devis]:[Statut du devis]],"Émis",Tableau1[[Date du devis]:[Date du devis]],"&gt;="&amp;DATE(TableauNombre[[#Headers],[2030]],1,1),Tableau1[[Date du devis]:[Date du devis]],"&lt;="&amp;DATE(TableauNombre[[#Headers],[2030]],12,31))</f>
        <v>0</v>
      </c>
    </row>
    <row r="24" spans="1:7" ht="40.049999999999997" customHeight="1">
      <c r="A24" s="20" t="s">
        <v>12</v>
      </c>
      <c r="B24" s="20">
        <f>COUNTIFS(Tableau1[[Statut du devis]:[Statut du devis]],"Suivi",Tableau1[[Date du devis]:[Date du devis]],"&gt;="&amp;DATE(TableauNombre[[#Headers],[2025]],1,1),Tableau1[[Date du devis]:[Date du devis]],"&lt;="&amp;DATE(TableauNombre[[#Headers],[2025]],12,31))</f>
        <v>1</v>
      </c>
      <c r="C24" s="20">
        <f>COUNTIFS(Tableau1[[Statut du devis]:[Statut du devis]],"Suivi",Tableau1[[Date du devis]:[Date du devis]],"&gt;="&amp;DATE(TableauNombre[[#Headers],[2026]],1,1),Tableau1[[Date du devis]:[Date du devis]],"&lt;="&amp;DATE(TableauNombre[[#Headers],[2026]],12,31))</f>
        <v>0</v>
      </c>
      <c r="D24" s="20">
        <f>COUNTIFS(Tableau1[[Statut du devis]:[Statut du devis]],"Suivi",Tableau1[[Date du devis]:[Date du devis]],"&gt;="&amp;DATE(TableauNombre[[#Headers],[2027]],1,1),Tableau1[[Date du devis]:[Date du devis]],"&lt;="&amp;DATE(TableauNombre[[#Headers],[2027]],12,31))</f>
        <v>0</v>
      </c>
      <c r="E24" s="20">
        <f>COUNTIFS(Tableau1[[Statut du devis]:[Statut du devis]],"Suivi",Tableau1[[Date du devis]:[Date du devis]],"&gt;="&amp;DATE(TableauNombre[[#Headers],[2028]],1,1),Tableau1[[Date du devis]:[Date du devis]],"&lt;="&amp;DATE(TableauNombre[[#Headers],[2028]],12,31))</f>
        <v>0</v>
      </c>
      <c r="F24" s="20">
        <f>COUNTIFS(Tableau1[[Statut du devis]:[Statut du devis]],"Suivi",Tableau1[[Date du devis]:[Date du devis]],"&gt;="&amp;DATE(TableauNombre[[#Headers],[2029]],1,1),Tableau1[[Date du devis]:[Date du devis]],"&lt;="&amp;DATE(TableauNombre[[#Headers],[2029]],12,31))</f>
        <v>0</v>
      </c>
      <c r="G24" s="20">
        <f>COUNTIFS(Tableau1[[Statut du devis]:[Statut du devis]],"Suivi",Tableau1[[Date du devis]:[Date du devis]],"&gt;="&amp;DATE(TableauNombre[[#Headers],[2030]],1,1),Tableau1[[Date du devis]:[Date du devis]],"&lt;="&amp;DATE(TableauNombre[[#Headers],[2030]],12,31))</f>
        <v>1</v>
      </c>
    </row>
    <row r="25" spans="1:7" ht="40.049999999999997" customHeight="1">
      <c r="A25" s="20" t="s">
        <v>8</v>
      </c>
      <c r="B25" s="20">
        <f>COUNTIFS(Tableau1[[Statut du devis]:[Statut du devis]],"Converti",Tableau1[[Date du devis]:[Date du devis]],"&gt;="&amp;DATE(TableauNombre[[#Headers],[2025]],1,1),Tableau1[[Date du devis]:[Date du devis]],"&lt;="&amp;DATE(TableauNombre[[#Headers],[2025]],12,31))</f>
        <v>7</v>
      </c>
      <c r="C25" s="20">
        <f>COUNTIFS(Tableau1[[Statut du devis]:[Statut du devis]],"Converti",Tableau1[[Date du devis]:[Date du devis]],"&gt;="&amp;DATE(TableauNombre[[#Headers],[2026]],1,1),Tableau1[[Date du devis]:[Date du devis]],"&lt;="&amp;DATE(TableauNombre[[#Headers],[2026]],12,31))</f>
        <v>2</v>
      </c>
      <c r="D25" s="20">
        <f>COUNTIFS(Tableau1[[Statut du devis]:[Statut du devis]],"Converti",Tableau1[[Date du devis]:[Date du devis]],"&gt;="&amp;DATE(TableauNombre[[#Headers],[2027]],1,1),Tableau1[[Date du devis]:[Date du devis]],"&lt;="&amp;DATE(TableauNombre[[#Headers],[2027]],12,31))</f>
        <v>1</v>
      </c>
      <c r="E25" s="20">
        <f>COUNTIFS(Tableau1[[Statut du devis]:[Statut du devis]],"Converti",Tableau1[[Date du devis]:[Date du devis]],"&gt;="&amp;DATE(TableauNombre[[#Headers],[2028]],1,1),Tableau1[[Date du devis]:[Date du devis]],"&lt;="&amp;DATE(TableauNombre[[#Headers],[2028]],12,31))</f>
        <v>1</v>
      </c>
      <c r="F25" s="20">
        <f>COUNTIFS(Tableau1[[Statut du devis]:[Statut du devis]],"Converti",Tableau1[[Date du devis]:[Date du devis]],"&gt;="&amp;DATE(TableauNombre[[#Headers],[2029]],1,1),Tableau1[[Date du devis]:[Date du devis]],"&lt;="&amp;DATE(TableauNombre[[#Headers],[2029]],12,31))</f>
        <v>1</v>
      </c>
      <c r="G25" s="20">
        <f>COUNTIFS(Tableau1[[Statut du devis]:[Statut du devis]],"Converti",Tableau1[[Date du devis]:[Date du devis]],"&gt;="&amp;DATE(TableauNombre[[#Headers],[2030]],1,1),Tableau1[[Date du devis]:[Date du devis]],"&lt;="&amp;DATE(TableauNombre[[#Headers],[2030]],12,31))</f>
        <v>1</v>
      </c>
    </row>
    <row r="26" spans="1:7" ht="40.049999999999997" customHeight="1">
      <c r="A26" s="20" t="s">
        <v>9</v>
      </c>
      <c r="B26" s="20">
        <f>COUNTIFS(Tableau1[[Statut du devis]:[Statut du devis]],"Non-converti",Tableau1[[Date du devis]:[Date du devis]],"&gt;="&amp;DATE(TableauNombre[[#Headers],[2025]],1,1),Tableau1[[Date du devis]:[Date du devis]],"&lt;="&amp;DATE(TableauNombre[[#Headers],[2025]],12,31))</f>
        <v>1</v>
      </c>
      <c r="C26" s="20">
        <f>COUNTIFS(Tableau1[[Statut du devis]:[Statut du devis]],"Non-converti",Tableau1[[Date du devis]:[Date du devis]],"&gt;="&amp;DATE(TableauNombre[[#Headers],[2026]],1,1),Tableau1[[Date du devis]:[Date du devis]],"&lt;="&amp;DATE(TableauNombre[[#Headers],[2026]],12,31))</f>
        <v>0</v>
      </c>
      <c r="D26" s="20">
        <f>COUNTIFS(Tableau1[[Statut du devis]:[Statut du devis]],"Non-converti",Tableau1[[Date du devis]:[Date du devis]],"&gt;="&amp;DATE(TableauNombre[[#Headers],[2027]],1,1),Tableau1[[Date du devis]:[Date du devis]],"&lt;="&amp;DATE(TableauNombre[[#Headers],[2027]],12,31))</f>
        <v>0</v>
      </c>
      <c r="E26" s="20">
        <f>COUNTIFS(Tableau1[[Statut du devis]:[Statut du devis]],"Non-converti",Tableau1[[Date du devis]:[Date du devis]],"&gt;="&amp;DATE(TableauNombre[[#Headers],[2028]],1,1),Tableau1[[Date du devis]:[Date du devis]],"&lt;="&amp;DATE(TableauNombre[[#Headers],[2028]],12,31))</f>
        <v>0</v>
      </c>
      <c r="F26" s="20">
        <f>COUNTIFS(Tableau1[[Statut du devis]:[Statut du devis]],"Non-converti",Tableau1[[Date du devis]:[Date du devis]],"&gt;="&amp;DATE(TableauNombre[[#Headers],[2029]],1,1),Tableau1[[Date du devis]:[Date du devis]],"&lt;="&amp;DATE(TableauNombre[[#Headers],[2029]],12,31))</f>
        <v>1</v>
      </c>
      <c r="G26" s="20">
        <f>COUNTIFS(Tableau1[[Statut du devis]:[Statut du devis]],"Non-converti",Tableau1[[Date du devis]:[Date du devis]],"&gt;="&amp;DATE(TableauNombre[[#Headers],[2030]],1,1),Tableau1[[Date du devis]:[Date du devis]],"&lt;="&amp;DATE(TableauNombre[[#Headers],[2030]],12,31))</f>
        <v>0</v>
      </c>
    </row>
    <row r="27" spans="1:7" ht="40.049999999999997" customHeight="1">
      <c r="A27" s="20" t="s">
        <v>38</v>
      </c>
      <c r="B27" s="20">
        <f>SUBTOTAL(109,TableauNombre[2025])</f>
        <v>10</v>
      </c>
      <c r="C27" s="20">
        <f>SUBTOTAL(109,TableauNombre[2026])</f>
        <v>2</v>
      </c>
      <c r="D27" s="20">
        <f>SUBTOTAL(109,TableauNombre[2027])</f>
        <v>1</v>
      </c>
      <c r="E27" s="20">
        <f>SUBTOTAL(109,TableauNombre[2028])</f>
        <v>1</v>
      </c>
      <c r="F27" s="20">
        <f>SUBTOTAL(109,TableauNombre[2029])</f>
        <v>2</v>
      </c>
      <c r="G27" s="20">
        <f>SUBTOTAL(109,TableauNombre[2030])</f>
        <v>2</v>
      </c>
    </row>
    <row r="28" spans="1:7" ht="40.049999999999997" customHeight="1">
      <c r="B28" s="20"/>
    </row>
    <row r="29" spans="1:7" ht="40.049999999999997" customHeight="1">
      <c r="A29" s="20" t="s">
        <v>33</v>
      </c>
      <c r="B29" s="20" t="s">
        <v>15</v>
      </c>
      <c r="C29" s="20" t="s">
        <v>14</v>
      </c>
      <c r="D29" s="20" t="s">
        <v>16</v>
      </c>
      <c r="E29" s="20" t="s">
        <v>17</v>
      </c>
      <c r="F29" s="20" t="s">
        <v>18</v>
      </c>
      <c r="G29" s="20" t="s">
        <v>19</v>
      </c>
    </row>
    <row r="30" spans="1:7" ht="40.049999999999997" customHeight="1">
      <c r="A30" s="20" t="s">
        <v>32</v>
      </c>
      <c r="B30" s="20">
        <f>IF(COUNTIFS(Tableau1[[Projet]:[Projet]],"&gt;=20000",Tableau1[[Projet]:[Projet]],"&lt;30000",Tableau1[[Statut du devis]:[Statut du devis]],"Converti",Tableau1[[Date du devis]:[Date du devis]],"&gt;="&amp;DATE(TableauGammedeprix[[#Headers],[2025]],1,1),Tableau1[[Date du devis]:[Date du devis]],"&lt;="&amp;DATE(TableauGammedeprix[[#Headers],[2025]],12,31))=0, "", COUNTIFS(Tableau1[[Projet]:[Projet]],"&gt;=20000",Tableau1[[Projet]:[Projet]],"&lt;30000",Tableau1[[Statut du devis]:[Statut du devis]],"Converti",Tableau1[[Date du devis]:[Date du devis]],"&gt;="&amp;DATE(TableauGammedeprix[[#Headers],[2025]],1,1),Tableau1[[Date du devis]:[Date du devis]],"&lt;="&amp;DATE(TableauGammedeprix[[#Headers],[2025]],12,31)))</f>
        <v>2</v>
      </c>
      <c r="C30" s="20" t="str">
        <f>IF(COUNTIFS(Tableau1[[Projet]:[Projet]],"&gt;=20000",Tableau1[[Projet]:[Projet]],"&lt;30000",Tableau1[[Statut du devis]:[Statut du devis]],"Converti",Tableau1[[Date du devis]:[Date du devis]],"&gt;="&amp;DATE(TableauGammedeprix[[#Headers],[2026]],1,1),Tableau1[[Date du devis]:[Date du devis]],"&lt;="&amp;DATE(TableauGammedeprix[[#Headers],[2026]],12,31))=0, "", COUNTIFS(Tableau1[[Projet]:[Projet]],"&gt;=20000",Tableau1[[Projet]:[Projet]],"&lt;30000",Tableau1[[Statut du devis]:[Statut du devis]],"Converti",Tableau1[[Date du devis]:[Date du devis]],"&gt;="&amp;DATE(TableauGammedeprix[[#Headers],[2026]],1,1),Tableau1[[Date du devis]:[Date du devis]],"&lt;="&amp;DATE(TableauGammedeprix[[#Headers],[2026]],12,31)))</f>
        <v/>
      </c>
      <c r="D30" s="20">
        <f>IF(COUNTIFS(Tableau1[[Projet]:[Projet]],"&gt;=20000",Tableau1[[Projet]:[Projet]],"&lt;30000",Tableau1[[Statut du devis]:[Statut du devis]],"Converti",Tableau1[[Date du devis]:[Date du devis]],"&gt;="&amp;DATE(TableauGammedeprix[[#Headers],[2027]],1,1),Tableau1[[Date du devis]:[Date du devis]],"&lt;="&amp;DATE(TableauGammedeprix[[#Headers],[2027]],12,31))=0, "", COUNTIFS(Tableau1[[Projet]:[Projet]],"&gt;=20000",Tableau1[[Projet]:[Projet]],"&lt;30000",Tableau1[[Statut du devis]:[Statut du devis]],"Converti",Tableau1[[Date du devis]:[Date du devis]],"&gt;="&amp;DATE(TableauGammedeprix[[#Headers],[2027]],1,1),Tableau1[[Date du devis]:[Date du devis]],"&lt;="&amp;DATE(TableauGammedeprix[[#Headers],[2027]],12,31)))</f>
        <v>1</v>
      </c>
      <c r="E30" s="20" t="str">
        <f>IF(COUNTIFS(Tableau1[[Projet]:[Projet]],"&gt;=20000",Tableau1[[Projet]:[Projet]],"&lt;30000",Tableau1[[Statut du devis]:[Statut du devis]],"Converti",Tableau1[[Date du devis]:[Date du devis]],"&gt;="&amp;DATE(TableauGammedeprix[[#Headers],[2028]],1,1),Tableau1[[Date du devis]:[Date du devis]],"&lt;="&amp;DATE(TableauGammedeprix[[#Headers],[2028]],12,31))=0, "", COUNTIFS(Tableau1[[Projet]:[Projet]],"&gt;=20000",Tableau1[[Projet]:[Projet]],"&lt;30000",Tableau1[[Statut du devis]:[Statut du devis]],"Converti",Tableau1[[Date du devis]:[Date du devis]],"&gt;="&amp;DATE(TableauGammedeprix[[#Headers],[2028]],1,1),Tableau1[[Date du devis]:[Date du devis]],"&lt;="&amp;DATE(TableauGammedeprix[[#Headers],[2028]],12,31)))</f>
        <v/>
      </c>
      <c r="F30" s="20">
        <f>IF(COUNTIFS(Tableau1[[Projet]:[Projet]],"&gt;=20000",Tableau1[[Projet]:[Projet]],"&lt;30000",Tableau1[[Statut du devis]:[Statut du devis]],"Converti",Tableau1[[Date du devis]:[Date du devis]],"&gt;="&amp;DATE(TableauGammedeprix[[#Headers],[2029]],1,1),Tableau1[[Date du devis]:[Date du devis]],"&lt;="&amp;DATE(TableauGammedeprix[[#Headers],[2029]],12,31))=0, "", COUNTIFS(Tableau1[[Projet]:[Projet]],"&gt;=20000",Tableau1[[Projet]:[Projet]],"&lt;30000",Tableau1[[Statut du devis]:[Statut du devis]],"Converti",Tableau1[[Date du devis]:[Date du devis]],"&gt;="&amp;DATE(TableauGammedeprix[[#Headers],[2029]],1,1),Tableau1[[Date du devis]:[Date du devis]],"&lt;="&amp;DATE(TableauGammedeprix[[#Headers],[2029]],12,31)))</f>
        <v>1</v>
      </c>
      <c r="G30" s="20" t="str">
        <f>IF(COUNTIFS(Tableau1[[Projet]:[Projet]],"&gt;=20000",Tableau1[[Projet]:[Projet]],"&lt;30000",Tableau1[[Statut du devis]:[Statut du devis]],"Converti",Tableau1[[Date du devis]:[Date du devis]],"&gt;="&amp;DATE(TableauGammedeprix[[#Headers],[2030]],1,1),Tableau1[[Date du devis]:[Date du devis]],"&lt;="&amp;DATE(TableauGammedeprix[[#Headers],[2030]],12,31))=0, "", COUNTIFS(Tableau1[[Projet]:[Projet]],"&gt;=20000",Tableau1[[Projet]:[Projet]],"&lt;30000",Tableau1[[Statut du devis]:[Statut du devis]],"Converti",Tableau1[[Date du devis]:[Date du devis]],"&gt;="&amp;DATE(TableauGammedeprix[[#Headers],[2030]],1,1),Tableau1[[Date du devis]:[Date du devis]],"&lt;="&amp;DATE(TableauGammedeprix[[#Headers],[2030]],12,31)))</f>
        <v/>
      </c>
    </row>
    <row r="31" spans="1:7" ht="40.049999999999997" customHeight="1">
      <c r="A31" s="20" t="s">
        <v>37</v>
      </c>
      <c r="B31" s="32">
        <f>IFERROR(B30/SUM(B30,B32,B34,B36),"")</f>
        <v>0.2857142857142857</v>
      </c>
      <c r="C31" s="32" t="str">
        <f t="shared" ref="C31:G31" si="0">IFERROR(C30/SUM(C30,C32,C34,C36),"")</f>
        <v/>
      </c>
      <c r="D31" s="32">
        <f t="shared" si="0"/>
        <v>1</v>
      </c>
      <c r="E31" s="32" t="str">
        <f t="shared" si="0"/>
        <v/>
      </c>
      <c r="F31" s="32">
        <f t="shared" si="0"/>
        <v>1</v>
      </c>
      <c r="G31" s="32" t="str">
        <f t="shared" si="0"/>
        <v/>
      </c>
    </row>
    <row r="32" spans="1:7" ht="40.049999999999997" customHeight="1">
      <c r="A32" s="20" t="s">
        <v>34</v>
      </c>
      <c r="B32" s="20">
        <f>IF(COUNTIFS(Tableau1[[Projet]:[Projet]],"&gt;=30000",Tableau1[[Projet]:[Projet]],"&lt;40000",Tableau1[[Statut du devis]:[Statut du devis]],"Converti",Tableau1[[Date du devis]:[Date du devis]],"&gt;="&amp;DATE(TableauGammedeprix[[#Headers],[2025]],1,1),Tableau1[[Date du devis]:[Date du devis]],"&lt;="&amp;DATE(TableauGammedeprix[[#Headers],[2025]],12,31))=0, "", COUNTIFS(Tableau1[[Projet]:[Projet]],"&gt;=30000",Tableau1[[Projet]:[Projet]],"&lt;40000",Tableau1[[Statut du devis]:[Statut du devis]],"Converti",Tableau1[[Date du devis]:[Date du devis]],"&gt;="&amp;DATE(TableauGammedeprix[[#Headers],[2025]],1,1),Tableau1[[Date du devis]:[Date du devis]],"&lt;="&amp;DATE(TableauGammedeprix[[#Headers],[2025]],12,31)))</f>
        <v>2</v>
      </c>
      <c r="C32" s="20" t="str">
        <f>IF(COUNTIFS(Tableau1[[Projet]:[Projet]],"&gt;=30000",Tableau1[[Projet]:[Projet]],"&lt;40000",Tableau1[[Statut du devis]:[Statut du devis]],"Converti",Tableau1[[Date du devis]:[Date du devis]],"&gt;="&amp;DATE(TableauGammedeprix[[#Headers],[2026]],1,1),Tableau1[[Date du devis]:[Date du devis]],"&lt;="&amp;DATE(TableauGammedeprix[[#Headers],[2026]],12,31))=0, "", COUNTIFS(Tableau1[[Projet]:[Projet]],"&gt;=30000",Tableau1[[Projet]:[Projet]],"&lt;40000",Tableau1[[Statut du devis]:[Statut du devis]],"Converti",Tableau1[[Date du devis]:[Date du devis]],"&gt;="&amp;DATE(TableauGammedeprix[[#Headers],[2026]],1,1),Tableau1[[Date du devis]:[Date du devis]],"&lt;="&amp;DATE(TableauGammedeprix[[#Headers],[2026]],12,31)))</f>
        <v/>
      </c>
      <c r="D32" s="20" t="str">
        <f>IF(COUNTIFS(Tableau1[[Projet]:[Projet]],"&gt;=30000",Tableau1[[Projet]:[Projet]],"&lt;40000",Tableau1[[Statut du devis]:[Statut du devis]],"Converti",Tableau1[[Date du devis]:[Date du devis]],"&gt;="&amp;DATE(TableauGammedeprix[[#Headers],[2027]],1,1),Tableau1[[Date du devis]:[Date du devis]],"&lt;="&amp;DATE(TableauGammedeprix[[#Headers],[2027]],12,31))=0, "", COUNTIFS(Tableau1[[Projet]:[Projet]],"&gt;=30000",Tableau1[[Projet]:[Projet]],"&lt;40000",Tableau1[[Statut du devis]:[Statut du devis]],"Converti",Tableau1[[Date du devis]:[Date du devis]],"&gt;="&amp;DATE(TableauGammedeprix[[#Headers],[2027]],1,1),Tableau1[[Date du devis]:[Date du devis]],"&lt;="&amp;DATE(TableauGammedeprix[[#Headers],[2027]],12,31)))</f>
        <v/>
      </c>
      <c r="E32" s="20" t="str">
        <f>IF(COUNTIFS(Tableau1[[Projet]:[Projet]],"&gt;=30000",Tableau1[[Projet]:[Projet]],"&lt;40000",Tableau1[[Statut du devis]:[Statut du devis]],"Converti",Tableau1[[Date du devis]:[Date du devis]],"&gt;="&amp;DATE(TableauGammedeprix[[#Headers],[2028]],1,1),Tableau1[[Date du devis]:[Date du devis]],"&lt;="&amp;DATE(TableauGammedeprix[[#Headers],[2028]],12,31))=0, "", COUNTIFS(Tableau1[[Projet]:[Projet]],"&gt;=30000",Tableau1[[Projet]:[Projet]],"&lt;40000",Tableau1[[Statut du devis]:[Statut du devis]],"Converti",Tableau1[[Date du devis]:[Date du devis]],"&gt;="&amp;DATE(TableauGammedeprix[[#Headers],[2028]],1,1),Tableau1[[Date du devis]:[Date du devis]],"&lt;="&amp;DATE(TableauGammedeprix[[#Headers],[2028]],12,31)))</f>
        <v/>
      </c>
      <c r="F32" s="20" t="str">
        <f>IF(COUNTIFS(Tableau1[[Projet]:[Projet]],"&gt;=30000",Tableau1[[Projet]:[Projet]],"&lt;40000",Tableau1[[Statut du devis]:[Statut du devis]],"Converti",Tableau1[[Date du devis]:[Date du devis]],"&gt;="&amp;DATE(TableauGammedeprix[[#Headers],[2029]],1,1),Tableau1[[Date du devis]:[Date du devis]],"&lt;="&amp;DATE(TableauGammedeprix[[#Headers],[2029]],12,31))=0, "", COUNTIFS(Tableau1[[Projet]:[Projet]],"&gt;=30000",Tableau1[[Projet]:[Projet]],"&lt;40000",Tableau1[[Statut du devis]:[Statut du devis]],"Converti",Tableau1[[Date du devis]:[Date du devis]],"&gt;="&amp;DATE(TableauGammedeprix[[#Headers],[2029]],1,1),Tableau1[[Date du devis]:[Date du devis]],"&lt;="&amp;DATE(TableauGammedeprix[[#Headers],[2029]],12,31)))</f>
        <v/>
      </c>
      <c r="G32" s="20">
        <f>IF(COUNTIFS(Tableau1[[Projet]:[Projet]],"&gt;=30000",Tableau1[[Projet]:[Projet]],"&lt;40000",Tableau1[[Statut du devis]:[Statut du devis]],"Converti",Tableau1[[Date du devis]:[Date du devis]],"&gt;="&amp;DATE(TableauGammedeprix[[#Headers],[2030]],1,1),Tableau1[[Date du devis]:[Date du devis]],"&lt;="&amp;DATE(TableauGammedeprix[[#Headers],[2030]],12,31))=0, "", COUNTIFS(Tableau1[[Projet]:[Projet]],"&gt;=30000",Tableau1[[Projet]:[Projet]],"&lt;40000",Tableau1[[Statut du devis]:[Statut du devis]],"Converti",Tableau1[[Date du devis]:[Date du devis]],"&gt;="&amp;DATE(TableauGammedeprix[[#Headers],[2030]],1,1),Tableau1[[Date du devis]:[Date du devis]],"&lt;="&amp;DATE(TableauGammedeprix[[#Headers],[2030]],12,31)))</f>
        <v>1</v>
      </c>
    </row>
    <row r="33" spans="1:11" ht="40.049999999999997" customHeight="1">
      <c r="A33" s="20" t="s">
        <v>37</v>
      </c>
      <c r="B33" s="32">
        <f>IFERROR(B32/SUM(B30,B32,B34,B36),"")</f>
        <v>0.2857142857142857</v>
      </c>
      <c r="C33" s="32" t="str">
        <f t="shared" ref="C33:G33" si="1">IFERROR(C32/SUM(C30,C32,C34,C36),"")</f>
        <v/>
      </c>
      <c r="D33" s="32" t="str">
        <f t="shared" si="1"/>
        <v/>
      </c>
      <c r="E33" s="32" t="str">
        <f t="shared" si="1"/>
        <v/>
      </c>
      <c r="F33" s="32" t="str">
        <f t="shared" si="1"/>
        <v/>
      </c>
      <c r="G33" s="32">
        <f t="shared" si="1"/>
        <v>1</v>
      </c>
    </row>
    <row r="34" spans="1:11" ht="40.049999999999997" customHeight="1">
      <c r="A34" s="20" t="s">
        <v>35</v>
      </c>
      <c r="B34" s="20">
        <f>IF(COUNTIFS(Tableau1[[Projet]:[Projet]],"&gt;=40000",Tableau1[[Projet]:[Projet]],"&lt;50000",Tableau1[[Statut du devis]:[Statut du devis]],"Converti",Tableau1[[Date du devis]:[Date du devis]],"&gt;="&amp;DATE(TableauGammedeprix[[#Headers],[2025]],1,1),Tableau1[[Date du devis]:[Date du devis]],"&lt;="&amp;DATE(TableauGammedeprix[[#Headers],[2025]],12,31))=0, "", COUNTIFS(Tableau1[[Projet]:[Projet]],"&gt;=40000",Tableau1[[Projet]:[Projet]],"&lt;50000",Tableau1[[Statut du devis]:[Statut du devis]],"Converti",Tableau1[[Date du devis]:[Date du devis]],"&gt;="&amp;DATE(TableauGammedeprix[[#Headers],[2025]],1,1),Tableau1[[Date du devis]:[Date du devis]],"&lt;="&amp;DATE(TableauGammedeprix[[#Headers],[2025]],12,31)))</f>
        <v>2</v>
      </c>
      <c r="C34" s="20">
        <f>IF(COUNTIFS(Tableau1[[Projet]:[Projet]],"&gt;=40000",Tableau1[[Projet]:[Projet]],"&lt;50000",Tableau1[[Statut du devis]:[Statut du devis]],"Converti",Tableau1[[Date du devis]:[Date du devis]],"&gt;="&amp;DATE(TableauGammedeprix[[#Headers],[2026]],1,1),Tableau1[[Date du devis]:[Date du devis]],"&lt;="&amp;DATE(TableauGammedeprix[[#Headers],[2026]],12,31))=0, "", COUNTIFS(Tableau1[[Projet]:[Projet]],"&gt;=40000",Tableau1[[Projet]:[Projet]],"&lt;50000",Tableau1[[Statut du devis]:[Statut du devis]],"Converti",Tableau1[[Date du devis]:[Date du devis]],"&gt;="&amp;DATE(TableauGammedeprix[[#Headers],[2026]],1,1),Tableau1[[Date du devis]:[Date du devis]],"&lt;="&amp;DATE(TableauGammedeprix[[#Headers],[2026]],12,31)))</f>
        <v>1</v>
      </c>
      <c r="D34" s="20" t="str">
        <f>IF(COUNTIFS(Tableau1[[Projet]:[Projet]],"&gt;=40000",Tableau1[[Projet]:[Projet]],"&lt;50000",Tableau1[[Statut du devis]:[Statut du devis]],"Converti",Tableau1[[Date du devis]:[Date du devis]],"&gt;="&amp;DATE(TableauGammedeprix[[#Headers],[2027]],1,1),Tableau1[[Date du devis]:[Date du devis]],"&lt;="&amp;DATE(TableauGammedeprix[[#Headers],[2027]],12,31))=0, "", COUNTIFS(Tableau1[[Projet]:[Projet]],"&gt;=40000",Tableau1[[Projet]:[Projet]],"&lt;50000",Tableau1[[Statut du devis]:[Statut du devis]],"Converti",Tableau1[[Date du devis]:[Date du devis]],"&gt;="&amp;DATE(TableauGammedeprix[[#Headers],[2027]],1,1),Tableau1[[Date du devis]:[Date du devis]],"&lt;="&amp;DATE(TableauGammedeprix[[#Headers],[2027]],12,31)))</f>
        <v/>
      </c>
      <c r="E34" s="20">
        <f>IF(COUNTIFS(Tableau1[[Projet]:[Projet]],"&gt;=40000",Tableau1[[Projet]:[Projet]],"&lt;50000",Tableau1[[Statut du devis]:[Statut du devis]],"Converti",Tableau1[[Date du devis]:[Date du devis]],"&gt;="&amp;DATE(TableauGammedeprix[[#Headers],[2028]],1,1),Tableau1[[Date du devis]:[Date du devis]],"&lt;="&amp;DATE(TableauGammedeprix[[#Headers],[2028]],12,31))=0, "", COUNTIFS(Tableau1[[Projet]:[Projet]],"&gt;=40000",Tableau1[[Projet]:[Projet]],"&lt;50000",Tableau1[[Statut du devis]:[Statut du devis]],"Converti",Tableau1[[Date du devis]:[Date du devis]],"&gt;="&amp;DATE(TableauGammedeprix[[#Headers],[2028]],1,1),Tableau1[[Date du devis]:[Date du devis]],"&lt;="&amp;DATE(TableauGammedeprix[[#Headers],[2028]],12,31)))</f>
        <v>1</v>
      </c>
      <c r="F34" s="20" t="str">
        <f>IF(COUNTIFS(Tableau1[[Projet]:[Projet]],"&gt;=40000",Tableau1[[Projet]:[Projet]],"&lt;50000",Tableau1[[Statut du devis]:[Statut du devis]],"Converti",Tableau1[[Date du devis]:[Date du devis]],"&gt;="&amp;DATE(TableauGammedeprix[[#Headers],[2029]],1,1),Tableau1[[Date du devis]:[Date du devis]],"&lt;="&amp;DATE(TableauGammedeprix[[#Headers],[2029]],12,31))=0, "", COUNTIFS(Tableau1[[Projet]:[Projet]],"&gt;=40000",Tableau1[[Projet]:[Projet]],"&lt;50000",Tableau1[[Statut du devis]:[Statut du devis]],"Converti",Tableau1[[Date du devis]:[Date du devis]],"&gt;="&amp;DATE(TableauGammedeprix[[#Headers],[2029]],1,1),Tableau1[[Date du devis]:[Date du devis]],"&lt;="&amp;DATE(TableauGammedeprix[[#Headers],[2029]],12,31)))</f>
        <v/>
      </c>
      <c r="G34" s="20" t="str">
        <f>IF(COUNTIFS(Tableau1[[Projet]:[Projet]],"&gt;=40000",Tableau1[[Projet]:[Projet]],"&lt;50000",Tableau1[[Statut du devis]:[Statut du devis]],"Converti",Tableau1[[Date du devis]:[Date du devis]],"&gt;="&amp;DATE(TableauGammedeprix[[#Headers],[2030]],1,1),Tableau1[[Date du devis]:[Date du devis]],"&lt;="&amp;DATE(TableauGammedeprix[[#Headers],[2030]],12,31))=0, "", COUNTIFS(Tableau1[[Projet]:[Projet]],"&gt;=40000",Tableau1[[Projet]:[Projet]],"&lt;50000",Tableau1[[Statut du devis]:[Statut du devis]],"Converti",Tableau1[[Date du devis]:[Date du devis]],"&gt;="&amp;DATE(TableauGammedeprix[[#Headers],[2030]],1,1),Tableau1[[Date du devis]:[Date du devis]],"&lt;="&amp;DATE(TableauGammedeprix[[#Headers],[2030]],12,31)))</f>
        <v/>
      </c>
    </row>
    <row r="35" spans="1:11" ht="40.049999999999997" customHeight="1">
      <c r="A35" s="20" t="s">
        <v>37</v>
      </c>
      <c r="B35" s="32">
        <f>IFERROR(B34/SUM(B30,B32,B34,B36),"")</f>
        <v>0.2857142857142857</v>
      </c>
      <c r="C35" s="32">
        <f t="shared" ref="C35:G35" si="2">IFERROR(C34/SUM(C30,C32,C34,C36),"")</f>
        <v>0.5</v>
      </c>
      <c r="D35" s="32" t="str">
        <f t="shared" si="2"/>
        <v/>
      </c>
      <c r="E35" s="32">
        <f t="shared" si="2"/>
        <v>1</v>
      </c>
      <c r="F35" s="32" t="str">
        <f t="shared" si="2"/>
        <v/>
      </c>
      <c r="G35" s="32" t="str">
        <f t="shared" si="2"/>
        <v/>
      </c>
    </row>
    <row r="36" spans="1:11" ht="40.049999999999997" customHeight="1">
      <c r="A36" s="20" t="s">
        <v>36</v>
      </c>
      <c r="B36" s="20">
        <f>IF(COUNTIFS(Tableau1[[Projet]:[Projet]],"&gt;=50000",Tableau1[[Projet]:[Projet]],"&lt;60000",Tableau1[[Statut du devis]:[Statut du devis]],"Converti",Tableau1[[Date du devis]:[Date du devis]],"&gt;="&amp;DATE(TableauGammedeprix[[#Headers],[2025]],1,1),Tableau1[[Date du devis]:[Date du devis]],"&lt;="&amp;DATE(TableauGammedeprix[[#Headers],[2025]],12,31))=0, "", COUNTIFS(Tableau1[[Projet]:[Projet]],"&gt;=50000",Tableau1[[Projet]:[Projet]],"&lt;60000",Tableau1[[Statut du devis]:[Statut du devis]],"Converti",Tableau1[[Date du devis]:[Date du devis]],"&gt;="&amp;DATE(TableauGammedeprix[[#Headers],[2025]],1,1),Tableau1[[Date du devis]:[Date du devis]],"&lt;="&amp;DATE(TableauGammedeprix[[#Headers],[2025]],12,31)))</f>
        <v>1</v>
      </c>
      <c r="C36" s="20">
        <f>IF(COUNTIFS(Tableau1[[Projet]:[Projet]],"&gt;=50000",Tableau1[[Projet]:[Projet]],"&lt;60000",Tableau1[[Statut du devis]:[Statut du devis]],"Converti",Tableau1[[Date du devis]:[Date du devis]],"&gt;="&amp;DATE(TableauGammedeprix[[#Headers],[2026]],1,1),Tableau1[[Date du devis]:[Date du devis]],"&lt;="&amp;DATE(TableauGammedeprix[[#Headers],[2026]],12,31))=0, "", COUNTIFS(Tableau1[[Projet]:[Projet]],"&gt;=50000",Tableau1[[Projet]:[Projet]],"&lt;60000",Tableau1[[Statut du devis]:[Statut du devis]],"Converti",Tableau1[[Date du devis]:[Date du devis]],"&gt;="&amp;DATE(TableauGammedeprix[[#Headers],[2026]],1,1),Tableau1[[Date du devis]:[Date du devis]],"&lt;="&amp;DATE(TableauGammedeprix[[#Headers],[2026]],12,31)))</f>
        <v>1</v>
      </c>
      <c r="D36" s="20" t="str">
        <f>IF(COUNTIFS(Tableau1[[Projet]:[Projet]],"&gt;=50000",Tableau1[[Projet]:[Projet]],"&lt;60000",Tableau1[[Statut du devis]:[Statut du devis]],"Converti",Tableau1[[Date du devis]:[Date du devis]],"&gt;="&amp;DATE(TableauGammedeprix[[#Headers],[2027]],1,1),Tableau1[[Date du devis]:[Date du devis]],"&lt;="&amp;DATE(TableauGammedeprix[[#Headers],[2027]],12,31))=0, "", COUNTIFS(Tableau1[[Projet]:[Projet]],"&gt;=50000",Tableau1[[Projet]:[Projet]],"&lt;60000",Tableau1[[Statut du devis]:[Statut du devis]],"Converti",Tableau1[[Date du devis]:[Date du devis]],"&gt;="&amp;DATE(TableauGammedeprix[[#Headers],[2027]],1,1),Tableau1[[Date du devis]:[Date du devis]],"&lt;="&amp;DATE(TableauGammedeprix[[#Headers],[2027]],12,31)))</f>
        <v/>
      </c>
      <c r="E36" s="20" t="str">
        <f>IF(COUNTIFS(Tableau1[[Projet]:[Projet]],"&gt;=50000",Tableau1[[Projet]:[Projet]],"&lt;60000",Tableau1[[Statut du devis]:[Statut du devis]],"Converti",Tableau1[[Date du devis]:[Date du devis]],"&gt;="&amp;DATE(TableauGammedeprix[[#Headers],[2028]],1,1),Tableau1[[Date du devis]:[Date du devis]],"&lt;="&amp;DATE(TableauGammedeprix[[#Headers],[2028]],12,31))=0, "", COUNTIFS(Tableau1[[Projet]:[Projet]],"&gt;=50000",Tableau1[[Projet]:[Projet]],"&lt;60000",Tableau1[[Statut du devis]:[Statut du devis]],"Converti",Tableau1[[Date du devis]:[Date du devis]],"&gt;="&amp;DATE(TableauGammedeprix[[#Headers],[2028]],1,1),Tableau1[[Date du devis]:[Date du devis]],"&lt;="&amp;DATE(TableauGammedeprix[[#Headers],[2028]],12,31)))</f>
        <v/>
      </c>
      <c r="F36" s="20" t="str">
        <f>IF(COUNTIFS(Tableau1[[Projet]:[Projet]],"&gt;=50000",Tableau1[[Projet]:[Projet]],"&lt;60000",Tableau1[[Statut du devis]:[Statut du devis]],"Converti",Tableau1[[Date du devis]:[Date du devis]],"&gt;="&amp;DATE(TableauGammedeprix[[#Headers],[2029]],1,1),Tableau1[[Date du devis]:[Date du devis]],"&lt;="&amp;DATE(TableauGammedeprix[[#Headers],[2029]],12,31))=0, "", COUNTIFS(Tableau1[[Projet]:[Projet]],"&gt;=50000",Tableau1[[Projet]:[Projet]],"&lt;60000",Tableau1[[Statut du devis]:[Statut du devis]],"Converti",Tableau1[[Date du devis]:[Date du devis]],"&gt;="&amp;DATE(TableauGammedeprix[[#Headers],[2029]],1,1),Tableau1[[Date du devis]:[Date du devis]],"&lt;="&amp;DATE(TableauGammedeprix[[#Headers],[2029]],12,31)))</f>
        <v/>
      </c>
      <c r="G36" s="20" t="str">
        <f>IF(COUNTIFS(Tableau1[[Projet]:[Projet]],"&gt;=50000",Tableau1[[Projet]:[Projet]],"&lt;60000",Tableau1[[Statut du devis]:[Statut du devis]],"Converti",Tableau1[[Date du devis]:[Date du devis]],"&gt;="&amp;DATE(TableauGammedeprix[[#Headers],[2030]],1,1),Tableau1[[Date du devis]:[Date du devis]],"&lt;="&amp;DATE(TableauGammedeprix[[#Headers],[2030]],12,31))=0, "", COUNTIFS(Tableau1[[Projet]:[Projet]],"&gt;=50000",Tableau1[[Projet]:[Projet]],"&lt;60000",Tableau1[[Statut du devis]:[Statut du devis]],"Converti",Tableau1[[Date du devis]:[Date du devis]],"&gt;="&amp;DATE(TableauGammedeprix[[#Headers],[2030]],1,1),Tableau1[[Date du devis]:[Date du devis]],"&lt;="&amp;DATE(TableauGammedeprix[[#Headers],[2030]],12,31)))</f>
        <v/>
      </c>
    </row>
    <row r="37" spans="1:11" ht="40.049999999999997" customHeight="1">
      <c r="A37" s="20" t="s">
        <v>37</v>
      </c>
      <c r="B37" s="32">
        <f>IFERROR(B36/SUM(B30,B32,B34,B36),"")</f>
        <v>0.14285714285714285</v>
      </c>
      <c r="C37" s="32">
        <f t="shared" ref="C37:G37" si="3">IFERROR(C36/SUM(C30,C32,C34,C36),"")</f>
        <v>0.5</v>
      </c>
      <c r="D37" s="32" t="str">
        <f t="shared" si="3"/>
        <v/>
      </c>
      <c r="E37" s="32" t="str">
        <f t="shared" si="3"/>
        <v/>
      </c>
      <c r="F37" s="32" t="str">
        <f t="shared" si="3"/>
        <v/>
      </c>
      <c r="G37" s="32" t="str">
        <f t="shared" si="3"/>
        <v/>
      </c>
    </row>
    <row r="38" spans="1:11" ht="40.049999999999997" customHeight="1">
      <c r="B38" s="20"/>
    </row>
    <row r="39" spans="1:11" s="46" customFormat="1" ht="40.049999999999997" customHeight="1">
      <c r="A39" s="44" t="str" cm="1">
        <f t="array" ref="A39:B52">_xlfn.LET(_xlpm.Tableau1,_xlfn._xlws.FILTER(Tableau1[],Tableau1[Statut du devis]="Converti"),_xlpm.f,_xlfn.TAKE(_xlfn._xlws.SORT(_xlfn.CHOOSECOLS(_xlpm.Tableau1,3,9),2,-1),Projets!D4),_xlfn.VSTACK({"Client","Classement"},_xlfn._xlws.FILTER(_xlpm.f,_xlfn.TAKE(_xlpm.f,,-1)&gt;0))
)</f>
        <v>Client</v>
      </c>
      <c r="B39" s="45" t="str">
        <v>Classement</v>
      </c>
      <c r="D39" s="44" t="str" cm="1">
        <f t="array" ref="D39:E47">_xlfn.VSTACK({"Ville","Nombre de vente"},_xlfn._xlws.SORT(_xlfn.LET(_xlpm.v,_xlfn.UNIQUE(Tableau1[Ville]),_xlpm.c,_xlfn.LAMBDA(_xlpm.v,COUNTIFS(Tableau1[Ville],_xlpm.v,Tableau1[Statut du devis],"Converti")),_xlpm.résultats,_xlfn.CHOOSECOLS(_xlfn.HSTACK(_xlpm.v,_xlfn.MAP(_xlpm.v,_xlpm.c)),{1;2}),_xlpm.filtré,_xlfn._xlws.FILTER(_xlpm.résultats,INDEX(_xlpm.résultats,,2)&lt;&gt; 0),_xlpm.filtré),2,-1))</f>
        <v>Ville</v>
      </c>
      <c r="E39" s="44" t="str">
        <v>Nombre de vente</v>
      </c>
      <c r="G39" s="44" t="str" cm="1">
        <f t="array" ref="G39:H49">_xlfn.VSTACK({"Taille","Nombre de vente"},_xlfn._xlws.SORT(_xlfn.LET(_xlpm.v,_xlfn.UNIQUE(Tableau1[Taille]),_xlpm.c,_xlfn.LAMBDA(_xlpm.v,COUNTIFS(Tableau1[Taille],_xlpm.v,Tableau1[Statut du devis],"Converti")),_xlpm.résultats,_xlfn.CHOOSECOLS(_xlfn.HSTACK(_xlpm.v,_xlfn.MAP(_xlpm.v,_xlpm.c)),{1;2}),_xlpm.filtré,_xlfn._xlws.FILTER(_xlpm.résultats,INDEX(_xlpm.résultats,,2)&lt;&gt; 0),_xlpm.filtré),2,-1)
)</f>
        <v>Taille</v>
      </c>
      <c r="H39" s="44" t="str">
        <v>Nombre de vente</v>
      </c>
      <c r="J39" s="44" t="str" cm="1">
        <f t="array" ref="J39:K41">_xlfn.VSTACK({"Mois","Nombre de devis"},_xlfn._xlws.SORT(_xlfn.LET(
  _xlpm.mois, _xlfn.UNIQUE(Tableau1[Mois en texte]),
  _xlpm.nb, _xlfn.MAP(_xlpm.mois, _xlfn.LAMBDA(_xlpm.m, COUNTIF(Tableau1[Mois en texte], _xlpm.m))),
  _xlfn.HSTACK(_xlpm.mois, _xlpm.nb)
), 2, -1))</f>
        <v>Mois</v>
      </c>
      <c r="K39" s="44" t="str">
        <v>Nombre de devis</v>
      </c>
    </row>
    <row r="40" spans="1:11" ht="40.049999999999997" customHeight="1">
      <c r="A40" s="20">
        <v>0</v>
      </c>
      <c r="B40" s="21">
        <v>56000</v>
      </c>
      <c r="D40" s="20" t="str">
        <v>Lyon</v>
      </c>
      <c r="E40" s="20">
        <v>3</v>
      </c>
      <c r="G40" s="20">
        <v>6</v>
      </c>
      <c r="H40" s="20">
        <v>2</v>
      </c>
      <c r="J40" s="20" t="str">
        <v>décembre</v>
      </c>
      <c r="K40" s="20">
        <v>11</v>
      </c>
    </row>
    <row r="41" spans="1:11" ht="40.049999999999997" customHeight="1">
      <c r="A41" s="20">
        <v>0</v>
      </c>
      <c r="B41" s="21">
        <v>54000</v>
      </c>
      <c r="D41" s="20" t="str">
        <v>Strasbourg</v>
      </c>
      <c r="E41" s="20">
        <v>2</v>
      </c>
      <c r="G41" s="20">
        <v>17</v>
      </c>
      <c r="H41" s="20">
        <v>2</v>
      </c>
      <c r="J41" s="20" t="str">
        <v>novembre</v>
      </c>
      <c r="K41" s="20">
        <v>7</v>
      </c>
    </row>
    <row r="42" spans="1:11" ht="40.049999999999997" customHeight="1">
      <c r="A42" s="20">
        <v>0</v>
      </c>
      <c r="B42" s="21">
        <v>42000</v>
      </c>
      <c r="D42" s="20" t="str">
        <v>Metz</v>
      </c>
      <c r="E42" s="20">
        <v>2</v>
      </c>
      <c r="G42" s="20">
        <v>11</v>
      </c>
      <c r="H42" s="20">
        <v>2</v>
      </c>
    </row>
    <row r="43" spans="1:11" ht="40.049999999999997" customHeight="1">
      <c r="A43" s="20">
        <v>0</v>
      </c>
      <c r="B43" s="21">
        <v>41000</v>
      </c>
      <c r="D43" s="20" t="str">
        <v>Brest</v>
      </c>
      <c r="E43" s="20">
        <v>2</v>
      </c>
      <c r="G43" s="20">
        <v>8</v>
      </c>
      <c r="H43" s="20">
        <v>1</v>
      </c>
    </row>
    <row r="44" spans="1:11" ht="40.049999999999997" customHeight="1">
      <c r="A44" s="20">
        <v>0</v>
      </c>
      <c r="B44" s="21">
        <v>41000</v>
      </c>
      <c r="D44" s="20" t="str">
        <v>Paris</v>
      </c>
      <c r="E44" s="20">
        <v>1</v>
      </c>
      <c r="G44" s="20">
        <v>14</v>
      </c>
      <c r="H44" s="20">
        <v>1</v>
      </c>
    </row>
    <row r="45" spans="1:11" ht="40.049999999999997" customHeight="1">
      <c r="A45" s="20">
        <v>0</v>
      </c>
      <c r="B45" s="21">
        <v>41000</v>
      </c>
      <c r="D45" s="20" t="str">
        <v>Marseille</v>
      </c>
      <c r="E45" s="20">
        <v>1</v>
      </c>
      <c r="G45" s="20">
        <v>4</v>
      </c>
      <c r="H45" s="20">
        <v>1</v>
      </c>
    </row>
    <row r="46" spans="1:11" ht="40.049999999999997" customHeight="1">
      <c r="A46" s="20">
        <v>0</v>
      </c>
      <c r="B46" s="21">
        <v>33000</v>
      </c>
      <c r="D46" s="20" t="str">
        <v>Toulon</v>
      </c>
      <c r="E46" s="20">
        <v>1</v>
      </c>
      <c r="G46" s="20">
        <v>7</v>
      </c>
      <c r="H46" s="20">
        <v>1</v>
      </c>
    </row>
    <row r="47" spans="1:11" ht="40.049999999999997" customHeight="1">
      <c r="A47" s="20">
        <v>0</v>
      </c>
      <c r="B47" s="21">
        <v>32000</v>
      </c>
      <c r="D47" s="20" t="str">
        <v>Nancy</v>
      </c>
      <c r="E47" s="20">
        <v>1</v>
      </c>
      <c r="G47" s="20">
        <v>9</v>
      </c>
      <c r="H47" s="20">
        <v>1</v>
      </c>
    </row>
    <row r="48" spans="1:11" ht="40.049999999999997" customHeight="1">
      <c r="A48" s="20">
        <v>0</v>
      </c>
      <c r="B48" s="21">
        <v>32000</v>
      </c>
      <c r="G48" s="20">
        <v>18</v>
      </c>
      <c r="H48" s="20">
        <v>1</v>
      </c>
    </row>
    <row r="49" spans="1:8" ht="40.049999999999997" customHeight="1">
      <c r="A49" s="20">
        <v>0</v>
      </c>
      <c r="B49" s="21">
        <v>29000</v>
      </c>
      <c r="G49" s="20">
        <v>21</v>
      </c>
      <c r="H49" s="20">
        <v>1</v>
      </c>
    </row>
    <row r="50" spans="1:8" ht="40.049999999999997" customHeight="1">
      <c r="A50" s="20">
        <v>0</v>
      </c>
      <c r="B50" s="21">
        <v>26000</v>
      </c>
    </row>
    <row r="51" spans="1:8" ht="40.049999999999997" customHeight="1">
      <c r="A51" s="20">
        <v>0</v>
      </c>
      <c r="B51" s="21">
        <v>24000</v>
      </c>
    </row>
    <row r="52" spans="1:8" ht="40.049999999999997" customHeight="1">
      <c r="A52" s="20">
        <v>0</v>
      </c>
      <c r="B52" s="21">
        <v>23000</v>
      </c>
    </row>
  </sheetData>
  <phoneticPr fontId="5" type="noConversion"/>
  <conditionalFormatting sqref="A1:G5 B11:G11">
    <cfRule type="cellIs" dxfId="2" priority="3" operator="equal">
      <formula>0</formula>
    </cfRule>
  </conditionalFormatting>
  <conditionalFormatting sqref="A22:G27">
    <cfRule type="cellIs" dxfId="1" priority="2" operator="equal">
      <formula>0</formula>
    </cfRule>
  </conditionalFormatting>
  <pageMargins left="0.7" right="0.7" top="0.75" bottom="0.75" header="0.3" footer="0.3"/>
  <pageSetup paperSize="9" orientation="portrait" r:id="rId1"/>
  <ignoredErrors>
    <ignoredError sqref="B17:B20" calculatedColumn="1"/>
  </ignoredErrors>
  <drawing r:id="rId2"/>
  <tableParts count="5"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Projets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2025-04-09T11:23:33Z</dcterms:created>
  <dcterms:modified xsi:type="dcterms:W3CDTF">2025-08-01T11:39:15Z</dcterms:modified>
</cp:coreProperties>
</file>