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updateLinks="never" codeName="ThisWorkbook" defaultThemeVersion="124226"/>
  <bookViews>
    <workbookView xWindow="240" yWindow="1425" windowWidth="15480" windowHeight="10095" tabRatio="529" activeTab="1"/>
  </bookViews>
  <sheets>
    <sheet name="Données" sheetId="42" r:id="rId1"/>
    <sheet name="CF" sheetId="38" r:id="rId2"/>
  </sheets>
  <externalReferences>
    <externalReference r:id="rId3"/>
    <externalReference r:id="rId4"/>
  </externalReferences>
  <definedNames>
    <definedName name="BedragF" localSheetId="0">#REF!</definedName>
    <definedName name="BedragF">#REF!</definedName>
    <definedName name="Beg_Bal" localSheetId="0">#REF!</definedName>
    <definedName name="Beg_Bal">#REF!</definedName>
    <definedName name="End_Bal">'[1]Tableau d''amortissement'!$I$18:$I$377</definedName>
    <definedName name="EuroConv">[2]Parameterblad!$C$1</definedName>
    <definedName name="Extra_Pay" localSheetId="0">#REF!</definedName>
    <definedName name="Extra_Pay">#REF!</definedName>
    <definedName name="FullFormules">[2]Formules!$A$26:$V$39</definedName>
    <definedName name="Geldigheid">[2]Parameterblad!$B$4</definedName>
    <definedName name="Header_Row">ROW('[1]Tableau d''amortissement'!$17:$17)</definedName>
    <definedName name="Int" localSheetId="0">#REF!</definedName>
    <definedName name="Int">#REF!</definedName>
    <definedName name="Interest_Rate">'[1]Tableau d''amortissement'!$D$5</definedName>
    <definedName name="KredietTypes">[2]Parameterblad!$A$25:$B$26</definedName>
    <definedName name="Last_Row">IF(Values_Entered,Header_Row+Number_of_Payments,Header_Row)</definedName>
    <definedName name="Loan_Amount">'[1]Tableau d''amortissement'!$D$4</definedName>
    <definedName name="Loan_Start">'[1]Tableau d''amortissement'!$D$8</definedName>
    <definedName name="Loan_Years">'[1]Tableau d''amortissement'!$D$6</definedName>
    <definedName name="looptijdF" localSheetId="0">#REF!</definedName>
    <definedName name="looptijdF">#REF!</definedName>
    <definedName name="maandenF" localSheetId="0">#REF!</definedName>
    <definedName name="maandenF">#REF!</definedName>
    <definedName name="mensF" localSheetId="0">#REF!</definedName>
    <definedName name="mensF">#REF!</definedName>
    <definedName name="nettorvtF" localSheetId="0">#REF!</definedName>
    <definedName name="nettorvtF">#REF!</definedName>
    <definedName name="Num_Pmt_Per_Year" localSheetId="0">#REF!</definedName>
    <definedName name="Num_Pmt_Per_Year">#REF!</definedName>
    <definedName name="Number_of_Payments">MATCH(0.01,End_Bal,-1)+1</definedName>
    <definedName name="Pay_Num" localSheetId="0">#REF!</definedName>
    <definedName name="Pay_Num">#REF!</definedName>
    <definedName name="Princ" localSheetId="0">#REF!</definedName>
    <definedName name="Prin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Monthly_Payment" localSheetId="0">#REF!</definedName>
    <definedName name="Scheduled_Monthly_Payment">#REF!</definedName>
    <definedName name="Total_Pay" localSheetId="0">#REF!</definedName>
    <definedName name="Total_Pay">#REF!</definedName>
    <definedName name="UitstelF" localSheetId="0">#REF!</definedName>
    <definedName name="UitstelF">#REF!</definedName>
    <definedName name="Values_Entered">IF(Loan_Amount*Interest_Rate*Loan_Years*Loan_Start&gt;0,1,0)</definedName>
    <definedName name="_xlnm.Print_Area" localSheetId="1">CF!$A$2:$Z$108</definedName>
    <definedName name="_xlnm.Print_Area" localSheetId="0">Données!$A$2:$Z$48</definedName>
  </definedNames>
  <calcPr calcId="144525"/>
</workbook>
</file>

<file path=xl/calcChain.xml><?xml version="1.0" encoding="utf-8"?>
<calcChain xmlns="http://schemas.openxmlformats.org/spreadsheetml/2006/main">
  <c r="H45" i="42" l="1"/>
  <c r="AD26" i="42"/>
  <c r="AD25" i="42"/>
  <c r="AC25" i="42"/>
  <c r="AB25" i="42"/>
  <c r="AD24" i="42"/>
  <c r="AC24" i="42"/>
  <c r="AB24" i="42"/>
  <c r="AD23" i="42"/>
  <c r="AC23" i="42"/>
  <c r="AB23" i="42"/>
  <c r="AD22" i="42"/>
  <c r="AC22" i="42"/>
  <c r="AB22" i="42"/>
  <c r="P62" i="38"/>
  <c r="P57" i="38"/>
  <c r="R56" i="38"/>
  <c r="R61" i="38"/>
  <c r="R51" i="38"/>
  <c r="P52" i="38"/>
  <c r="J47" i="38" l="1"/>
  <c r="J31" i="38" l="1"/>
  <c r="J30" i="38"/>
  <c r="J46" i="38" l="1"/>
  <c r="R19" i="38" l="1"/>
  <c r="R18" i="38"/>
  <c r="R17" i="38"/>
  <c r="R16" i="38"/>
  <c r="R15" i="38"/>
  <c r="R14" i="38"/>
  <c r="R13" i="38"/>
  <c r="R5" i="38"/>
  <c r="R4" i="38"/>
  <c r="N20" i="38"/>
  <c r="N19" i="38"/>
  <c r="N18" i="38"/>
  <c r="N17" i="38"/>
  <c r="N16" i="38"/>
  <c r="N15" i="38"/>
  <c r="L20" i="38"/>
  <c r="L19" i="38"/>
  <c r="L18" i="38"/>
  <c r="L17" i="38"/>
  <c r="L16" i="38"/>
  <c r="L15" i="38"/>
  <c r="J20" i="38"/>
  <c r="J19" i="38"/>
  <c r="J18" i="38"/>
  <c r="J17" i="38"/>
  <c r="J16" i="38"/>
  <c r="J15" i="38"/>
  <c r="H20" i="38"/>
  <c r="H19" i="38"/>
  <c r="H18" i="38"/>
  <c r="H17" i="38"/>
  <c r="H16" i="38"/>
  <c r="H15" i="38"/>
  <c r="F20" i="38"/>
  <c r="F19" i="38"/>
  <c r="F18" i="38"/>
  <c r="F17" i="38"/>
  <c r="F16" i="38"/>
  <c r="F15" i="38"/>
  <c r="D20" i="38"/>
  <c r="D19" i="38"/>
  <c r="D18" i="38"/>
  <c r="D17" i="38"/>
  <c r="D16" i="38"/>
  <c r="D15" i="38"/>
  <c r="B20" i="38"/>
  <c r="B19" i="38"/>
  <c r="B18" i="38"/>
  <c r="B17" i="38"/>
  <c r="B16" i="38"/>
  <c r="B15" i="38"/>
  <c r="L9" i="38"/>
  <c r="L8" i="38"/>
  <c r="L7" i="38"/>
  <c r="L6" i="38"/>
  <c r="H9" i="38"/>
  <c r="H8" i="38"/>
  <c r="H7" i="38"/>
  <c r="H6" i="38"/>
  <c r="H5" i="38"/>
  <c r="H4" i="38"/>
  <c r="D9" i="38"/>
  <c r="D8" i="38"/>
  <c r="D7" i="38"/>
  <c r="D6" i="38"/>
  <c r="D5" i="38"/>
  <c r="D4" i="38"/>
  <c r="H33" i="38"/>
  <c r="F33" i="38"/>
  <c r="H40" i="38"/>
  <c r="H39" i="38"/>
  <c r="H38" i="38"/>
  <c r="H37" i="38"/>
  <c r="H36" i="38"/>
  <c r="H35" i="38"/>
  <c r="H34" i="38"/>
  <c r="H32" i="38"/>
  <c r="H31" i="38"/>
  <c r="H30" i="38"/>
  <c r="H29" i="38"/>
  <c r="H28" i="38"/>
  <c r="H27" i="38"/>
  <c r="H26" i="38"/>
  <c r="H25" i="38"/>
  <c r="F40" i="38"/>
  <c r="F39" i="38"/>
  <c r="F38" i="38"/>
  <c r="F37" i="38"/>
  <c r="F36" i="38"/>
  <c r="F35" i="38"/>
  <c r="F34" i="38"/>
  <c r="F25" i="38"/>
  <c r="F32" i="38"/>
  <c r="F31" i="38"/>
  <c r="F30" i="38"/>
  <c r="F29" i="38"/>
  <c r="F28" i="38"/>
  <c r="F27" i="38"/>
  <c r="F26" i="38"/>
  <c r="H41" i="42" l="1"/>
  <c r="F41" i="42"/>
  <c r="N21" i="42"/>
  <c r="J21" i="42"/>
  <c r="D21" i="42"/>
  <c r="T19" i="42"/>
  <c r="V19" i="42" s="1"/>
  <c r="T18" i="42"/>
  <c r="V18" i="42" s="1"/>
  <c r="T17" i="42"/>
  <c r="V17" i="42" s="1"/>
  <c r="T16" i="42"/>
  <c r="V16" i="42" s="1"/>
  <c r="T15" i="42"/>
  <c r="V15" i="42" s="1"/>
  <c r="T14" i="42"/>
  <c r="V14" i="42" s="1"/>
  <c r="T13" i="42"/>
  <c r="V13" i="42" s="1"/>
  <c r="R6" i="42"/>
  <c r="R7" i="42" s="1"/>
  <c r="J39" i="38"/>
  <c r="V20" i="42" l="1"/>
  <c r="R8" i="42"/>
  <c r="X56" i="38" l="1"/>
  <c r="T57" i="38" l="1"/>
  <c r="T58" i="38" s="1"/>
  <c r="Z41" i="38"/>
  <c r="X41" i="38"/>
  <c r="V41" i="38"/>
  <c r="T41" i="38"/>
  <c r="R41" i="38"/>
  <c r="T19" i="38"/>
  <c r="V19" i="38" s="1"/>
  <c r="R27" i="38" l="1"/>
  <c r="J25" i="38"/>
  <c r="J26" i="38"/>
  <c r="T52" i="38" l="1"/>
  <c r="T53" i="38" s="1"/>
  <c r="X51" i="38" l="1"/>
  <c r="X61" i="38"/>
  <c r="T62" i="38"/>
  <c r="J36" i="38" l="1"/>
  <c r="J28" i="38" l="1"/>
  <c r="J40" i="38" l="1"/>
  <c r="J38" i="38"/>
  <c r="J37" i="38"/>
  <c r="J35" i="38"/>
  <c r="J34" i="38"/>
  <c r="J29" i="38"/>
  <c r="J27" i="38"/>
  <c r="J33" i="38" l="1"/>
  <c r="J32" i="38"/>
  <c r="N21" i="38"/>
  <c r="J21" i="38"/>
  <c r="D21" i="38"/>
  <c r="J41" i="38" l="1"/>
  <c r="H41" i="38"/>
  <c r="F41" i="38"/>
  <c r="V27" i="38" l="1"/>
  <c r="X108" i="38" l="1"/>
  <c r="X107" i="38"/>
  <c r="X106" i="38"/>
  <c r="X105" i="38"/>
  <c r="X104" i="38"/>
  <c r="X103" i="38"/>
  <c r="Y103" i="38" s="1"/>
  <c r="Y104" i="38" l="1"/>
  <c r="Y105" i="38" s="1"/>
  <c r="Y106" i="38" s="1"/>
  <c r="Y107" i="38" s="1"/>
  <c r="Y108" i="38" s="1"/>
  <c r="T18" i="38" l="1"/>
  <c r="T17" i="38"/>
  <c r="T16" i="38"/>
  <c r="T15" i="38"/>
  <c r="T14" i="38"/>
  <c r="T13" i="38"/>
  <c r="V16" i="38" l="1"/>
  <c r="V14" i="38"/>
  <c r="V13" i="38"/>
  <c r="V17" i="38" l="1"/>
  <c r="J43" i="38" l="1"/>
  <c r="R6" i="38"/>
  <c r="V18" i="38" l="1"/>
  <c r="V15" i="38"/>
  <c r="R7" i="38"/>
  <c r="R8" i="38" s="1"/>
  <c r="T46" i="38" l="1"/>
  <c r="Z46" i="38"/>
  <c r="R46" i="38"/>
  <c r="V46" i="38"/>
  <c r="X46" i="38"/>
  <c r="V20" i="38"/>
  <c r="Y101" i="38" s="1"/>
  <c r="X97" i="38" l="1"/>
  <c r="X91" i="38"/>
  <c r="X87" i="38"/>
  <c r="Y87" i="38" s="1"/>
  <c r="X100" i="38"/>
  <c r="X90" i="38"/>
  <c r="X99" i="38"/>
  <c r="X95" i="38"/>
  <c r="Y95" i="38" s="1"/>
  <c r="X89" i="38"/>
  <c r="Y93" i="38"/>
  <c r="X98" i="38"/>
  <c r="X92" i="38"/>
  <c r="X88" i="38"/>
  <c r="X96" i="38"/>
  <c r="X27" i="38"/>
  <c r="Z27" i="38"/>
  <c r="R34" i="38"/>
  <c r="V34" i="38"/>
  <c r="T34" i="38"/>
  <c r="Z34" i="38"/>
  <c r="X34" i="38"/>
  <c r="R36" i="38"/>
  <c r="T26" i="38"/>
  <c r="V26" i="38"/>
  <c r="R25" i="38"/>
  <c r="V29" i="38"/>
  <c r="Z26" i="38"/>
  <c r="X26" i="38"/>
  <c r="R26" i="38"/>
  <c r="Z29" i="38"/>
  <c r="T29" i="38"/>
  <c r="R29" i="38"/>
  <c r="X29" i="38"/>
  <c r="V25" i="38"/>
  <c r="T25" i="38"/>
  <c r="X25" i="38"/>
  <c r="Z25" i="38"/>
  <c r="Y88" i="38" l="1"/>
  <c r="Y89" i="38" s="1"/>
  <c r="Y90" i="38" s="1"/>
  <c r="Y91" i="38" s="1"/>
  <c r="Y96" i="38"/>
  <c r="Y97" i="38" s="1"/>
  <c r="Y98" i="38" s="1"/>
  <c r="Y99" i="38" s="1"/>
  <c r="Y100" i="38" s="1"/>
  <c r="Z36" i="38"/>
  <c r="X36" i="38"/>
  <c r="T36" i="38"/>
  <c r="V36" i="38"/>
  <c r="Z104" i="38"/>
  <c r="Z105" i="38"/>
  <c r="Z107" i="38"/>
  <c r="Z103" i="38"/>
  <c r="Z106" i="38"/>
  <c r="Z108" i="38" l="1"/>
  <c r="V40" i="38"/>
  <c r="Z40" i="38"/>
  <c r="R40" i="38"/>
  <c r="T40" i="38"/>
  <c r="X40" i="38"/>
  <c r="Y109" i="38"/>
  <c r="Z109" i="38" s="1"/>
  <c r="Z101" i="38"/>
  <c r="T27" i="38"/>
  <c r="Z93" i="38"/>
  <c r="Z87" i="38"/>
  <c r="Z88" i="38" l="1"/>
  <c r="Z95" i="38"/>
  <c r="Z89" i="38" l="1"/>
  <c r="Z96" i="38"/>
  <c r="Z97" i="38" l="1"/>
  <c r="Z90" i="38" l="1"/>
  <c r="Y92" i="38"/>
  <c r="Z92" i="38" s="1"/>
  <c r="Z98" i="38"/>
  <c r="Z91" i="38" l="1"/>
  <c r="R28" i="38" s="1"/>
  <c r="Z99" i="38"/>
  <c r="Z100" i="38"/>
  <c r="R30" i="38" l="1"/>
  <c r="Z28" i="38"/>
  <c r="Z30" i="38" s="1"/>
  <c r="V28" i="38"/>
  <c r="V30" i="38" s="1"/>
  <c r="T28" i="38"/>
  <c r="T30" i="38" s="1"/>
  <c r="X28" i="38"/>
  <c r="X30" i="38" s="1"/>
  <c r="R35" i="38"/>
  <c r="Z35" i="38" l="1"/>
  <c r="V35" i="38"/>
  <c r="X35" i="38"/>
  <c r="R37" i="38"/>
  <c r="T35" i="38"/>
  <c r="V37" i="38" l="1"/>
  <c r="R39" i="38"/>
  <c r="R42" i="38" s="1"/>
  <c r="Z37" i="38"/>
  <c r="T37" i="38"/>
  <c r="X37" i="38"/>
  <c r="X39" i="38" l="1"/>
  <c r="X42" i="38" s="1"/>
  <c r="T39" i="38"/>
  <c r="T42" i="38" s="1"/>
  <c r="V39" i="38"/>
  <c r="V42" i="38" s="1"/>
  <c r="Z39" i="38"/>
  <c r="Z42" i="38" s="1"/>
  <c r="R44" i="38" l="1"/>
  <c r="X44" i="38"/>
  <c r="V44" i="38" l="1"/>
  <c r="V45" i="38" s="1"/>
  <c r="Z44" i="38"/>
  <c r="Z45" i="38" s="1"/>
  <c r="T44" i="38"/>
  <c r="T45" i="38" s="1"/>
  <c r="R45" i="38"/>
  <c r="X45" i="38"/>
  <c r="X52" i="38" l="1"/>
  <c r="J48" i="38" s="1"/>
  <c r="X62" i="38"/>
  <c r="Z62" i="38" s="1"/>
  <c r="X57" i="38"/>
  <c r="Z57" i="38" s="1"/>
  <c r="X58" i="38"/>
  <c r="X53" i="38"/>
  <c r="P53" i="38" s="1"/>
  <c r="T47" i="38"/>
  <c r="V47" i="38"/>
  <c r="X47" i="38"/>
  <c r="Z47" i="38"/>
  <c r="R47" i="38"/>
  <c r="J45" i="38" l="1"/>
  <c r="J44" i="38"/>
  <c r="P58" i="38"/>
  <c r="Z58" i="38"/>
  <c r="Z52" i="38"/>
  <c r="Z53" i="38"/>
</calcChain>
</file>

<file path=xl/sharedStrings.xml><?xml version="1.0" encoding="utf-8"?>
<sst xmlns="http://schemas.openxmlformats.org/spreadsheetml/2006/main" count="223" uniqueCount="126">
  <si>
    <t>NS</t>
  </si>
  <si>
    <t>Wallonie</t>
  </si>
  <si>
    <t>Flandre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</si>
  <si>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</si>
  <si>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</si>
  <si>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</si>
  <si>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</si>
  <si>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</si>
  <si>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</si>
  <si>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</si>
  <si>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</si>
  <si>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</si>
  <si>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</si>
  <si>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</si>
  <si>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</si>
  <si>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</si>
  <si>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</si>
  <si>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</si>
  <si>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</si>
  <si>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</si>
  <si>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</si>
  <si>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</si>
  <si>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</si>
  <si>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</si>
  <si>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Taux</t>
  </si>
  <si>
    <t>Total chèque repas par mois</t>
  </si>
  <si>
    <t>Crédits en cours non rachetés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</si>
  <si>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</si>
  <si>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</si>
  <si>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</si>
  <si>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</si>
  <si>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</si>
  <si>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</si>
  <si>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</si>
  <si>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</si>
  <si>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</si>
  <si>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</si>
  <si>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</si>
  <si>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</si>
  <si>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</si>
  <si>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</si>
  <si>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</si>
  <si>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</si>
  <si>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</si>
  <si>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 xml:space="preserve">Prix d'achat </t>
  </si>
  <si>
    <t xml:space="preserve">Travaux </t>
  </si>
  <si>
    <t>Montant 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</si>
  <si>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</si>
  <si>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</si>
  <si>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</si>
  <si>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</si>
  <si>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</si>
  <si>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</si>
  <si>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</si>
  <si>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</si>
  <si>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</si>
  <si>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</si>
  <si>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</si>
  <si>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</si>
  <si>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</si>
  <si>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</si>
  <si>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</si>
  <si>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</si>
  <si>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</si>
  <si>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</si>
  <si>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</si>
  <si>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>Gage (Habitation financé)</t>
  </si>
  <si>
    <t>Emprunteurs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</si>
  <si>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</si>
  <si>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</si>
  <si>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</si>
  <si>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</si>
  <si>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</si>
  <si>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</si>
  <si>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Taux fixe</t>
  </si>
  <si>
    <t>Revenus / dépenses réelles</t>
  </si>
  <si>
    <t>ni de Jean Marc Minne ou un de ses représentants. Le taux et la quotité dépendent des éléments d'une demande de contrat signée.</t>
  </si>
  <si>
    <t>Remboursement par mois</t>
  </si>
  <si>
    <t xml:space="preserve">&lt; 75% </t>
  </si>
  <si>
    <t>1/1/1 - cap 2,5%</t>
  </si>
  <si>
    <t>3/3/3 - cap 2%</t>
  </si>
  <si>
    <t xml:space="preserve"> 5/5/5 - cap 2%</t>
  </si>
  <si>
    <t>10/5 - Cap 2%</t>
  </si>
  <si>
    <t>Coût total</t>
  </si>
  <si>
    <t>Fixe</t>
  </si>
  <si>
    <t>Cette étude, en remboursement par mensualités constantes, est réalisée à titre informatif et ne peut donc pas être considérée comme offre de crédit. Elle n'implique aucun engagement, ni de la part du client,</t>
  </si>
  <si>
    <t xml:space="preserve">101% - 118% </t>
  </si>
  <si>
    <t xml:space="preserve">Abattement </t>
  </si>
  <si>
    <t>Durée années</t>
  </si>
  <si>
    <t>Frais de dossier</t>
  </si>
  <si>
    <t xml:space="preserve">Remboursement maximum    </t>
  </si>
  <si>
    <t xml:space="preserve">Solde alimentaire                             </t>
  </si>
  <si>
    <t>Tx mensuel</t>
  </si>
  <si>
    <t>Tx annuel</t>
  </si>
  <si>
    <t>Tx annuel correspondant</t>
  </si>
  <si>
    <t>1/1/1 - cap 3</t>
  </si>
  <si>
    <t xml:space="preserve">Quotité projet                                      </t>
  </si>
  <si>
    <t>Montant prêt hors frais de dossier</t>
  </si>
  <si>
    <t>Achat/construction/travaux</t>
  </si>
  <si>
    <t>5/1/1 - cap 3</t>
  </si>
  <si>
    <t>5/5/5 - cap 2</t>
  </si>
  <si>
    <t>90% &lt;= 100%</t>
  </si>
  <si>
    <t>&lt;=90%</t>
  </si>
  <si>
    <t>Remboursement après revision</t>
  </si>
  <si>
    <t>Nombres mois</t>
  </si>
  <si>
    <t>Mensualité max</t>
  </si>
  <si>
    <t xml:space="preserve">Rapport charge revenu    </t>
  </si>
  <si>
    <t>Montant achat + crédits à racheter</t>
  </si>
  <si>
    <t>Durée mois</t>
  </si>
  <si>
    <t>Dans quelle région se situe l'immeuble ?</t>
  </si>
  <si>
    <t>Montant à financer</t>
  </si>
  <si>
    <t>Autres positif: (Handicap, Onem)</t>
  </si>
  <si>
    <t>Garanties immobilières/mobilières</t>
  </si>
  <si>
    <t xml:space="preserve">Fonds propres                      </t>
  </si>
  <si>
    <t>Formule de crédit 101% à 118%</t>
  </si>
  <si>
    <t>CF</t>
  </si>
  <si>
    <t>E</t>
  </si>
  <si>
    <t>Le remboursement comprend combien d'années ?</t>
  </si>
  <si>
    <t>Achat d'un immeuble existant</t>
  </si>
  <si>
    <t>Achat construction neuve</t>
  </si>
  <si>
    <t>Plan financier</t>
  </si>
  <si>
    <t>Charges mensuelles hors prêt</t>
  </si>
  <si>
    <t>Charges mensuelles + prêt</t>
  </si>
  <si>
    <r>
      <rPr>
        <sz val="12"/>
        <color rgb="FF00CC00"/>
        <rFont val="Times New Roman"/>
        <family val="1"/>
      </rPr>
      <t>Revenus</t>
    </r>
    <r>
      <rPr>
        <sz val="12"/>
        <color theme="3"/>
        <rFont val="Times New Roman"/>
        <family val="1"/>
      </rPr>
      <t xml:space="preserve"> / </t>
    </r>
    <r>
      <rPr>
        <sz val="12"/>
        <color rgb="FFFF0000"/>
        <rFont val="Times New Roman"/>
        <family val="1"/>
      </rPr>
      <t>dépenses réelles</t>
    </r>
  </si>
  <si>
    <t xml:space="preserve">Autres négatif  (Loyer)               </t>
  </si>
  <si>
    <t>Bruxelles 12.5%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</si>
</sst>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_(&quot;$&quot;* #,##0.00_);_(&quot;$&quot;* \(#,##0.00\);_(&quot;$&quot;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sz val="12"/>
      <color theme="3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FFFF00"/>
      <name val="Times New Roman"/>
      <family val="1"/>
    </font>
    <font>
      <sz val="12"/>
      <color theme="5" tint="-0.499984740745262"/>
      <name val="Times New Roman"/>
      <family val="1"/>
    </font>
    <font>
      <sz val="12"/>
      <color rgb="FFFF0000"/>
      <name val="Times New Roman"/>
      <family val="1"/>
    </font>
    <font>
      <sz val="12"/>
      <color theme="8" tint="-0.249977111117893"/>
      <name val="Times New Roman"/>
      <family val="1"/>
    </font>
    <font>
      <sz val="12"/>
      <color theme="5" tint="-0.249977111117893"/>
      <name val="Times New Roman"/>
      <family val="1"/>
    </font>
    <font>
      <sz val="12"/>
      <color theme="6" tint="-0.49998474074526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rial"/>
      <family val="2"/>
    </font>
    <font>
      <sz val="12"/>
      <color rgb="FF00CC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170" fontId="2" fillId="0" borderId="0" applyFont="0" applyFill="0" applyBorder="0" applyAlignment="0" applyProtection="0"/>
  </cellStyleXfs>
  <cellXfs count="330">
    <xf numFmtId="0" fontId="0" fillId="0" borderId="0" xfId="0"/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left" vertical="center"/>
      <protection locked="0"/>
    </xf>
    <xf numFmtId="166" fontId="7" fillId="5" borderId="1" xfId="0" applyNumberFormat="1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4" fillId="4" borderId="15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5" fillId="4" borderId="15" xfId="2" applyFont="1" applyFill="1" applyBorder="1" applyAlignment="1">
      <alignment vertical="center"/>
    </xf>
    <xf numFmtId="166" fontId="4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left" vertical="center"/>
      <protection locked="0"/>
    </xf>
    <xf numFmtId="166" fontId="5" fillId="4" borderId="15" xfId="0" applyNumberFormat="1" applyFont="1" applyFill="1" applyBorder="1" applyAlignment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vertical="center"/>
      <protection locked="0"/>
    </xf>
    <xf numFmtId="166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>
      <alignment horizontal="center" vertical="center"/>
    </xf>
    <xf numFmtId="8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>
      <alignment horizontal="center" vertical="center"/>
    </xf>
    <xf numFmtId="0" fontId="5" fillId="4" borderId="23" xfId="0" applyFont="1" applyFill="1" applyBorder="1" applyAlignment="1" applyProtection="1">
      <alignment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2" fillId="4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8" fontId="4" fillId="0" borderId="15" xfId="0" applyNumberFormat="1" applyFont="1" applyFill="1" applyBorder="1" applyAlignment="1" applyProtection="1">
      <alignment horizontal="center" vertical="center"/>
      <protection locked="0"/>
    </xf>
    <xf numFmtId="166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 wrapText="1"/>
      <protection locked="0"/>
    </xf>
    <xf numFmtId="0" fontId="13" fillId="4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5" fillId="4" borderId="23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left" vertical="center"/>
    </xf>
    <xf numFmtId="166" fontId="4" fillId="4" borderId="23" xfId="0" applyNumberFormat="1" applyFont="1" applyFill="1" applyBorder="1" applyAlignment="1">
      <alignment horizontal="center" vertical="center"/>
    </xf>
    <xf numFmtId="8" fontId="4" fillId="0" borderId="23" xfId="0" applyNumberFormat="1" applyFont="1" applyFill="1" applyBorder="1" applyAlignment="1" applyProtection="1">
      <alignment horizontal="center" vertical="center"/>
      <protection locked="0"/>
    </xf>
    <xf numFmtId="166" fontId="4" fillId="0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15" xfId="0" applyNumberFormat="1" applyFont="1" applyFill="1" applyBorder="1" applyAlignment="1" applyProtection="1">
      <alignment horizontal="center" vertical="center"/>
    </xf>
    <xf numFmtId="10" fontId="4" fillId="4" borderId="15" xfId="0" applyNumberFormat="1" applyFont="1" applyFill="1" applyBorder="1" applyAlignment="1" applyProtection="1">
      <alignment horizontal="center" vertical="center"/>
      <protection locked="0"/>
    </xf>
    <xf numFmtId="169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</xf>
    <xf numFmtId="10" fontId="4" fillId="4" borderId="23" xfId="0" applyNumberFormat="1" applyFont="1" applyFill="1" applyBorder="1" applyAlignment="1" applyProtection="1">
      <alignment horizontal="center" vertical="center"/>
      <protection locked="0"/>
    </xf>
    <xf numFmtId="169" fontId="4" fillId="4" borderId="23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>
      <alignment horizontal="left" vertical="center"/>
    </xf>
    <xf numFmtId="8" fontId="4" fillId="0" borderId="25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25" xfId="0" applyNumberFormat="1" applyFont="1" applyFill="1" applyBorder="1" applyAlignment="1" applyProtection="1">
      <alignment horizontal="center" vertical="center"/>
      <protection locked="0"/>
    </xf>
    <xf numFmtId="169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166" fontId="4" fillId="0" borderId="17" xfId="0" applyNumberFormat="1" applyFont="1" applyFill="1" applyBorder="1" applyAlignment="1" applyProtection="1">
      <alignment horizontal="center" vertical="center"/>
      <protection locked="0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left" vertical="center"/>
    </xf>
    <xf numFmtId="8" fontId="6" fillId="4" borderId="0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left" vertical="center"/>
      <protection locked="0"/>
    </xf>
    <xf numFmtId="0" fontId="4" fillId="7" borderId="10" xfId="0" applyFont="1" applyFill="1" applyBorder="1" applyAlignment="1">
      <alignment vertical="center"/>
    </xf>
    <xf numFmtId="0" fontId="4" fillId="7" borderId="1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164" fontId="6" fillId="4" borderId="30" xfId="0" applyNumberFormat="1" applyFont="1" applyFill="1" applyBorder="1" applyAlignment="1">
      <alignment horizontal="center" vertical="center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166" fontId="6" fillId="4" borderId="30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vertical="center"/>
      <protection locked="0"/>
    </xf>
    <xf numFmtId="0" fontId="4" fillId="0" borderId="6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left" vertical="center"/>
      <protection locked="0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166" fontId="15" fillId="4" borderId="0" xfId="0" applyNumberFormat="1" applyFont="1" applyFill="1" applyBorder="1" applyAlignment="1" applyProtection="1">
      <alignment horizontal="center" vertical="center"/>
      <protection locked="0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6" fillId="4" borderId="31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49" fontId="4" fillId="4" borderId="23" xfId="0" applyNumberFormat="1" applyFont="1" applyFill="1" applyBorder="1" applyAlignment="1" applyProtection="1">
      <alignment horizontal="center" vertical="center"/>
      <protection locked="0"/>
    </xf>
    <xf numFmtId="0" fontId="4" fillId="4" borderId="0" xfId="4" applyFont="1" applyFill="1" applyBorder="1" applyAlignment="1">
      <alignment horizontal="left" vertical="center"/>
    </xf>
    <xf numFmtId="0" fontId="5" fillId="4" borderId="0" xfId="0" applyFont="1" applyFill="1" applyAlignment="1" applyProtection="1">
      <alignment horizontal="center" vertical="center"/>
      <protection locked="0"/>
    </xf>
    <xf numFmtId="44" fontId="5" fillId="4" borderId="0" xfId="1" applyFont="1" applyFill="1" applyBorder="1" applyAlignment="1" applyProtection="1">
      <alignment horizontal="center"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left" vertical="center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left" vertical="center"/>
    </xf>
    <xf numFmtId="164" fontId="6" fillId="4" borderId="30" xfId="0" applyNumberFormat="1" applyFont="1" applyFill="1" applyBorder="1" applyAlignment="1" applyProtection="1">
      <alignment horizontal="center" vertical="center"/>
      <protection locked="0"/>
    </xf>
    <xf numFmtId="164" fontId="4" fillId="4" borderId="0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164" fontId="6" fillId="4" borderId="6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</xf>
    <xf numFmtId="166" fontId="16" fillId="4" borderId="0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vertical="center"/>
    </xf>
    <xf numFmtId="0" fontId="18" fillId="4" borderId="0" xfId="0" applyFont="1" applyFill="1" applyBorder="1" applyAlignment="1">
      <alignment vertical="center"/>
    </xf>
    <xf numFmtId="9" fontId="19" fillId="4" borderId="0" xfId="0" applyNumberFormat="1" applyFont="1" applyFill="1" applyBorder="1" applyAlignment="1" applyProtection="1">
      <alignment horizontal="center" vertical="center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6" fontId="5" fillId="4" borderId="1" xfId="0" applyNumberFormat="1" applyFont="1" applyFill="1" applyBorder="1" applyAlignment="1">
      <alignment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8" fontId="6" fillId="4" borderId="0" xfId="0" applyNumberFormat="1" applyFont="1" applyFill="1" applyBorder="1" applyAlignment="1" applyProtection="1">
      <alignment horizontal="center" vertical="center"/>
    </xf>
    <xf numFmtId="166" fontId="5" fillId="4" borderId="1" xfId="0" applyNumberFormat="1" applyFont="1" applyFill="1" applyBorder="1" applyAlignment="1" applyProtection="1">
      <alignment horizontal="right" vertical="center"/>
      <protection locked="0"/>
    </xf>
    <xf numFmtId="8" fontId="5" fillId="4" borderId="0" xfId="0" applyNumberFormat="1" applyFont="1" applyFill="1" applyBorder="1" applyAlignment="1" applyProtection="1">
      <alignment horizontal="center" vertical="center"/>
    </xf>
    <xf numFmtId="44" fontId="6" fillId="4" borderId="0" xfId="1" applyFont="1" applyFill="1" applyBorder="1" applyAlignment="1" applyProtection="1">
      <alignment vertical="center"/>
      <protection locked="0"/>
    </xf>
    <xf numFmtId="167" fontId="5" fillId="4" borderId="1" xfId="2" applyNumberFormat="1" applyFont="1" applyFill="1" applyBorder="1" applyAlignment="1">
      <alignment horizontal="right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166" fontId="5" fillId="4" borderId="1" xfId="2" applyNumberFormat="1" applyFont="1" applyFill="1" applyBorder="1" applyAlignment="1">
      <alignment horizontal="right" vertical="center"/>
    </xf>
    <xf numFmtId="166" fontId="5" fillId="4" borderId="1" xfId="0" applyNumberFormat="1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right" vertical="center"/>
      <protection locked="0"/>
    </xf>
    <xf numFmtId="165" fontId="5" fillId="4" borderId="1" xfId="2" applyNumberFormat="1" applyFont="1" applyFill="1" applyBorder="1" applyAlignment="1">
      <alignment horizontal="right" vertical="center"/>
    </xf>
    <xf numFmtId="167" fontId="20" fillId="4" borderId="1" xfId="0" applyNumberFormat="1" applyFont="1" applyFill="1" applyBorder="1" applyAlignment="1">
      <alignment horizontal="right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4" borderId="6" xfId="0" applyFont="1" applyFill="1" applyBorder="1" applyAlignment="1" applyProtection="1">
      <alignment vertical="center"/>
      <protection locked="0"/>
    </xf>
    <xf numFmtId="10" fontId="5" fillId="4" borderId="15" xfId="0" applyNumberFormat="1" applyFont="1" applyFill="1" applyBorder="1" applyAlignment="1">
      <alignment horizontal="center" vertical="center"/>
    </xf>
    <xf numFmtId="165" fontId="5" fillId="4" borderId="15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vertical="center"/>
    </xf>
    <xf numFmtId="0" fontId="5" fillId="4" borderId="14" xfId="0" applyFont="1" applyFill="1" applyBorder="1" applyAlignment="1" applyProtection="1">
      <alignment vertical="center"/>
      <protection locked="0"/>
    </xf>
    <xf numFmtId="0" fontId="5" fillId="4" borderId="28" xfId="0" applyFont="1" applyFill="1" applyBorder="1" applyAlignment="1">
      <alignment vertical="center"/>
    </xf>
    <xf numFmtId="0" fontId="5" fillId="4" borderId="11" xfId="0" applyFont="1" applyFill="1" applyBorder="1" applyAlignment="1" applyProtection="1">
      <alignment vertical="center"/>
      <protection locked="0"/>
    </xf>
    <xf numFmtId="10" fontId="5" fillId="4" borderId="25" xfId="0" applyNumberFormat="1" applyFont="1" applyFill="1" applyBorder="1" applyAlignment="1">
      <alignment horizontal="center" vertical="center"/>
    </xf>
    <xf numFmtId="165" fontId="5" fillId="4" borderId="25" xfId="0" applyNumberFormat="1" applyFont="1" applyFill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23" xfId="0" applyFont="1" applyFill="1" applyBorder="1" applyAlignment="1" applyProtection="1">
      <alignment horizontal="left" vertical="center"/>
      <protection locked="0"/>
    </xf>
    <xf numFmtId="0" fontId="4" fillId="4" borderId="25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167" fontId="20" fillId="4" borderId="0" xfId="0" applyNumberFormat="1" applyFont="1" applyFill="1" applyBorder="1" applyAlignment="1">
      <alignment horizontal="right" vertical="center"/>
    </xf>
    <xf numFmtId="1" fontId="5" fillId="4" borderId="0" xfId="2" applyNumberFormat="1" applyFont="1" applyFill="1" applyBorder="1" applyAlignment="1">
      <alignment horizontal="right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166" fontId="5" fillId="4" borderId="24" xfId="0" applyNumberFormat="1" applyFont="1" applyFill="1" applyBorder="1" applyAlignment="1" applyProtection="1">
      <alignment horizontal="center" vertical="center"/>
    </xf>
    <xf numFmtId="166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horizontal="left" vertical="center"/>
    </xf>
    <xf numFmtId="0" fontId="4" fillId="4" borderId="8" xfId="0" applyFont="1" applyFill="1" applyBorder="1" applyAlignment="1" applyProtection="1">
      <alignment vertical="center"/>
      <protection locked="0"/>
    </xf>
    <xf numFmtId="0" fontId="4" fillId="4" borderId="7" xfId="0" applyFont="1" applyFill="1" applyBorder="1" applyAlignment="1" applyProtection="1">
      <alignment vertical="center"/>
      <protection locked="0"/>
    </xf>
    <xf numFmtId="0" fontId="5" fillId="4" borderId="32" xfId="0" applyFont="1" applyFill="1" applyBorder="1" applyAlignment="1" applyProtection="1">
      <alignment vertical="center"/>
      <protection locked="0"/>
    </xf>
    <xf numFmtId="0" fontId="4" fillId="4" borderId="33" xfId="0" applyFont="1" applyFill="1" applyBorder="1" applyAlignment="1" applyProtection="1">
      <alignment vertical="center"/>
      <protection locked="0"/>
    </xf>
    <xf numFmtId="0" fontId="4" fillId="0" borderId="34" xfId="0" applyFont="1" applyFill="1" applyBorder="1" applyAlignment="1" applyProtection="1">
      <alignment vertical="center"/>
      <protection locked="0"/>
    </xf>
    <xf numFmtId="0" fontId="4" fillId="4" borderId="36" xfId="0" applyFont="1" applyFill="1" applyBorder="1" applyAlignment="1" applyProtection="1">
      <alignment vertical="center"/>
      <protection locked="0"/>
    </xf>
    <xf numFmtId="0" fontId="4" fillId="0" borderId="37" xfId="0" applyFont="1" applyFill="1" applyBorder="1" applyAlignment="1" applyProtection="1">
      <alignment vertical="center"/>
      <protection locked="0"/>
    </xf>
    <xf numFmtId="0" fontId="5" fillId="4" borderId="24" xfId="0" applyFont="1" applyFill="1" applyBorder="1" applyAlignment="1">
      <alignment vertical="center"/>
    </xf>
    <xf numFmtId="166" fontId="4" fillId="4" borderId="25" xfId="0" applyNumberFormat="1" applyFont="1" applyFill="1" applyBorder="1" applyAlignment="1">
      <alignment horizontal="center" vertical="center"/>
    </xf>
    <xf numFmtId="0" fontId="5" fillId="4" borderId="15" xfId="4" applyFont="1" applyFill="1" applyBorder="1" applyAlignment="1">
      <alignment horizontal="left" vertical="center"/>
    </xf>
    <xf numFmtId="0" fontId="5" fillId="4" borderId="23" xfId="4" applyFont="1" applyFill="1" applyBorder="1" applyAlignment="1">
      <alignment horizontal="left" vertical="center"/>
    </xf>
    <xf numFmtId="0" fontId="5" fillId="4" borderId="15" xfId="3" applyFont="1" applyFill="1" applyBorder="1" applyAlignment="1">
      <alignment horizontal="left" vertical="center"/>
    </xf>
    <xf numFmtId="0" fontId="5" fillId="4" borderId="23" xfId="3" applyFont="1" applyFill="1" applyBorder="1" applyAlignment="1">
      <alignment horizontal="left" vertical="center"/>
    </xf>
    <xf numFmtId="0" fontId="22" fillId="4" borderId="1" xfId="0" applyFont="1" applyFill="1" applyBorder="1" applyAlignment="1">
      <alignment vertical="center"/>
    </xf>
    <xf numFmtId="166" fontId="8" fillId="4" borderId="1" xfId="0" applyNumberFormat="1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>
      <alignment horizontal="left" vertical="center"/>
    </xf>
    <xf numFmtId="0" fontId="22" fillId="4" borderId="25" xfId="4" applyFont="1" applyFill="1" applyBorder="1" applyAlignment="1">
      <alignment horizontal="left" vertical="center"/>
    </xf>
    <xf numFmtId="0" fontId="22" fillId="4" borderId="25" xfId="0" applyFont="1" applyFill="1" applyBorder="1" applyAlignment="1">
      <alignment horizontal="left" vertical="center"/>
    </xf>
    <xf numFmtId="0" fontId="8" fillId="4" borderId="35" xfId="0" applyFont="1" applyFill="1" applyBorder="1" applyAlignment="1" applyProtection="1">
      <alignment vertical="center"/>
      <protection locked="0"/>
    </xf>
    <xf numFmtId="166" fontId="8" fillId="4" borderId="25" xfId="0" applyNumberFormat="1" applyFont="1" applyFill="1" applyBorder="1" applyAlignment="1" applyProtection="1">
      <alignment horizontal="center" vertical="center"/>
    </xf>
    <xf numFmtId="166" fontId="8" fillId="4" borderId="25" xfId="0" applyNumberFormat="1" applyFont="1" applyFill="1" applyBorder="1" applyAlignment="1" applyProtection="1">
      <alignment horizontal="center" vertical="center"/>
      <protection locked="0"/>
    </xf>
    <xf numFmtId="0" fontId="22" fillId="4" borderId="23" xfId="0" applyFont="1" applyFill="1" applyBorder="1" applyAlignment="1">
      <alignment horizontal="left" vertical="center"/>
    </xf>
    <xf numFmtId="164" fontId="22" fillId="4" borderId="0" xfId="0" applyNumberFormat="1" applyFont="1" applyFill="1" applyBorder="1" applyAlignment="1" applyProtection="1">
      <alignment horizontal="center" vertical="center"/>
      <protection locked="0"/>
    </xf>
    <xf numFmtId="166" fontId="7" fillId="6" borderId="1" xfId="0" applyNumberFormat="1" applyFont="1" applyFill="1" applyBorder="1" applyAlignment="1" applyProtection="1">
      <alignment horizontal="center" vertical="center"/>
      <protection locked="0"/>
    </xf>
    <xf numFmtId="166" fontId="7" fillId="6" borderId="1" xfId="0" applyNumberFormat="1" applyFont="1" applyFill="1" applyBorder="1" applyAlignment="1" applyProtection="1">
      <alignment horizontal="center" vertical="center"/>
    </xf>
    <xf numFmtId="4" fontId="7" fillId="6" borderId="1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left" vertical="center"/>
      <protection locked="0"/>
    </xf>
    <xf numFmtId="0" fontId="7" fillId="5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>
      <alignment horizontal="left" vertical="center"/>
    </xf>
    <xf numFmtId="0" fontId="5" fillId="4" borderId="25" xfId="0" applyFont="1" applyFill="1" applyBorder="1" applyAlignment="1">
      <alignment horizontal="left" vertical="center"/>
    </xf>
    <xf numFmtId="10" fontId="16" fillId="4" borderId="23" xfId="0" applyNumberFormat="1" applyFont="1" applyFill="1" applyBorder="1" applyAlignment="1" applyProtection="1">
      <alignment horizontal="center" vertical="center"/>
      <protection locked="0"/>
    </xf>
    <xf numFmtId="10" fontId="16" fillId="4" borderId="25" xfId="0" applyNumberFormat="1" applyFont="1" applyFill="1" applyBorder="1" applyAlignment="1" applyProtection="1">
      <alignment horizontal="center" vertical="center"/>
    </xf>
    <xf numFmtId="0" fontId="5" fillId="4" borderId="29" xfId="0" applyFont="1" applyFill="1" applyBorder="1" applyAlignment="1" applyProtection="1">
      <alignment vertical="center"/>
      <protection locked="0"/>
    </xf>
    <xf numFmtId="0" fontId="5" fillId="4" borderId="20" xfId="0" applyFont="1" applyFill="1" applyBorder="1" applyAlignment="1" applyProtection="1">
      <alignment vertical="center"/>
      <protection locked="0"/>
    </xf>
    <xf numFmtId="0" fontId="5" fillId="4" borderId="19" xfId="0" applyFont="1" applyFill="1" applyBorder="1" applyAlignment="1" applyProtection="1">
      <alignment vertical="center"/>
      <protection locked="0"/>
    </xf>
    <xf numFmtId="0" fontId="5" fillId="4" borderId="27" xfId="0" applyFont="1" applyFill="1" applyBorder="1" applyAlignment="1" applyProtection="1">
      <alignment vertical="center"/>
      <protection locked="0"/>
    </xf>
    <xf numFmtId="0" fontId="5" fillId="4" borderId="18" xfId="0" applyFont="1" applyFill="1" applyBorder="1" applyAlignment="1">
      <alignment vertical="center"/>
    </xf>
    <xf numFmtId="0" fontId="23" fillId="4" borderId="0" xfId="0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right" vertical="center"/>
      <protection locked="0"/>
    </xf>
    <xf numFmtId="166" fontId="5" fillId="4" borderId="0" xfId="0" applyNumberFormat="1" applyFont="1" applyFill="1" applyBorder="1" applyAlignment="1" applyProtection="1">
      <alignment horizontal="right" vertical="center"/>
      <protection locked="0"/>
    </xf>
    <xf numFmtId="0" fontId="5" fillId="4" borderId="0" xfId="0" applyFont="1" applyFill="1" applyBorder="1" applyAlignment="1" applyProtection="1">
      <alignment horizontal="right" vertical="center"/>
      <protection locked="0"/>
    </xf>
    <xf numFmtId="0" fontId="21" fillId="4" borderId="0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left" vertical="center"/>
    </xf>
    <xf numFmtId="10" fontId="6" fillId="4" borderId="0" xfId="0" applyNumberFormat="1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right" vertical="center"/>
    </xf>
    <xf numFmtId="0" fontId="7" fillId="4" borderId="0" xfId="0" applyFont="1" applyFill="1" applyBorder="1" applyAlignment="1">
      <alignment horizontal="left" vertical="center"/>
    </xf>
    <xf numFmtId="166" fontId="7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4" applyFont="1" applyFill="1" applyBorder="1" applyAlignment="1">
      <alignment horizontal="left" vertical="center"/>
    </xf>
    <xf numFmtId="164" fontId="5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3" applyFont="1" applyFill="1" applyBorder="1" applyAlignment="1">
      <alignment horizontal="left" vertical="center"/>
    </xf>
    <xf numFmtId="0" fontId="22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center" vertical="center"/>
    </xf>
    <xf numFmtId="1" fontId="4" fillId="4" borderId="23" xfId="0" applyNumberFormat="1" applyFont="1" applyFill="1" applyBorder="1" applyAlignment="1" applyProtection="1">
      <alignment horizontal="center" vertical="center"/>
      <protection locked="0"/>
    </xf>
    <xf numFmtId="3" fontId="5" fillId="4" borderId="15" xfId="0" applyNumberFormat="1" applyFont="1" applyFill="1" applyBorder="1" applyAlignment="1" applyProtection="1">
      <alignment horizontal="center" vertical="center"/>
    </xf>
    <xf numFmtId="3" fontId="5" fillId="4" borderId="23" xfId="0" applyNumberFormat="1" applyFont="1" applyFill="1" applyBorder="1" applyAlignment="1" applyProtection="1">
      <alignment horizontal="center" vertical="center"/>
    </xf>
    <xf numFmtId="3" fontId="5" fillId="4" borderId="25" xfId="0" applyNumberFormat="1" applyFont="1" applyFill="1" applyBorder="1" applyAlignment="1" applyProtection="1">
      <alignment horizontal="center" vertical="center"/>
    </xf>
    <xf numFmtId="166" fontId="6" fillId="4" borderId="30" xfId="0" applyNumberFormat="1" applyFont="1" applyFill="1" applyBorder="1" applyAlignment="1" applyProtection="1">
      <alignment horizontal="right" vertical="center"/>
      <protection locked="0"/>
    </xf>
    <xf numFmtId="164" fontId="4" fillId="4" borderId="0" xfId="0" applyNumberFormat="1" applyFont="1" applyFill="1" applyBorder="1" applyAlignment="1" applyProtection="1">
      <alignment horizontal="left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 applyProtection="1">
      <alignment vertical="center"/>
      <protection locked="0"/>
    </xf>
    <xf numFmtId="166" fontId="9" fillId="4" borderId="0" xfId="0" applyNumberFormat="1" applyFont="1" applyFill="1" applyBorder="1" applyAlignment="1" applyProtection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>
      <alignment horizontal="center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0" fontId="5" fillId="4" borderId="23" xfId="0" applyFont="1" applyFill="1" applyBorder="1" applyAlignment="1" applyProtection="1">
      <alignment horizontal="left" vertical="center"/>
      <protection locked="0"/>
    </xf>
    <xf numFmtId="0" fontId="5" fillId="4" borderId="25" xfId="0" applyFont="1" applyFill="1" applyBorder="1" applyAlignment="1" applyProtection="1">
      <alignment horizontal="left" vertical="center"/>
      <protection locked="0"/>
    </xf>
    <xf numFmtId="166" fontId="24" fillId="4" borderId="15" xfId="0" applyNumberFormat="1" applyFont="1" applyFill="1" applyBorder="1" applyAlignment="1" applyProtection="1">
      <alignment horizontal="center" vertical="center"/>
      <protection locked="0"/>
    </xf>
    <xf numFmtId="166" fontId="24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17" xfId="0" applyNumberFormat="1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left" vertical="center"/>
      <protection locked="0"/>
    </xf>
    <xf numFmtId="164" fontId="6" fillId="4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>
      <alignment vertical="center"/>
    </xf>
    <xf numFmtId="0" fontId="4" fillId="4" borderId="27" xfId="0" applyFont="1" applyFill="1" applyBorder="1" applyAlignment="1" applyProtection="1">
      <alignment vertical="center"/>
      <protection locked="0"/>
    </xf>
    <xf numFmtId="164" fontId="6" fillId="4" borderId="23" xfId="0" applyNumberFormat="1" applyFont="1" applyFill="1" applyBorder="1" applyAlignment="1" applyProtection="1">
      <alignment horizontal="center" vertical="center"/>
      <protection locked="0"/>
    </xf>
    <xf numFmtId="164" fontId="4" fillId="4" borderId="29" xfId="0" applyNumberFormat="1" applyFont="1" applyFill="1" applyBorder="1" applyAlignment="1" applyProtection="1">
      <alignment horizontal="center" vertical="center"/>
      <protection locked="0"/>
    </xf>
    <xf numFmtId="166" fontId="16" fillId="4" borderId="15" xfId="0" applyNumberFormat="1" applyFont="1" applyFill="1" applyBorder="1" applyAlignment="1">
      <alignment horizontal="center" vertical="center"/>
    </xf>
    <xf numFmtId="166" fontId="5" fillId="4" borderId="25" xfId="0" applyNumberFormat="1" applyFont="1" applyFill="1" applyBorder="1" applyAlignment="1">
      <alignment horizontal="center" vertical="center"/>
    </xf>
    <xf numFmtId="166" fontId="16" fillId="4" borderId="25" xfId="0" applyNumberFormat="1" applyFont="1" applyFill="1" applyBorder="1" applyAlignment="1">
      <alignment horizontal="center" vertical="center"/>
    </xf>
    <xf numFmtId="166" fontId="16" fillId="4" borderId="1" xfId="0" applyNumberFormat="1" applyFont="1" applyFill="1" applyBorder="1" applyAlignment="1">
      <alignment horizontal="center" vertical="center"/>
    </xf>
    <xf numFmtId="166" fontId="4" fillId="4" borderId="15" xfId="0" applyNumberFormat="1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 applyProtection="1">
      <alignment vertical="center"/>
      <protection locked="0"/>
    </xf>
    <xf numFmtId="0" fontId="7" fillId="4" borderId="9" xfId="0" applyFont="1" applyFill="1" applyBorder="1" applyAlignment="1" applyProtection="1">
      <alignment horizontal="left" vertical="center"/>
      <protection locked="0"/>
    </xf>
    <xf numFmtId="0" fontId="4" fillId="4" borderId="10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0" fontId="4" fillId="4" borderId="21" xfId="0" applyFont="1" applyFill="1" applyBorder="1" applyAlignment="1" applyProtection="1">
      <alignment horizontal="left" vertical="center"/>
      <protection locked="0"/>
    </xf>
    <xf numFmtId="0" fontId="10" fillId="0" borderId="3" xfId="0" applyFont="1" applyBorder="1" applyAlignment="1"/>
    <xf numFmtId="0" fontId="10" fillId="0" borderId="22" xfId="0" applyFont="1" applyBorder="1" applyAlignment="1"/>
    <xf numFmtId="0" fontId="10" fillId="0" borderId="28" xfId="0" applyFont="1" applyBorder="1" applyAlignment="1">
      <alignment vertical="center"/>
    </xf>
    <xf numFmtId="0" fontId="10" fillId="0" borderId="27" xfId="0" applyFont="1" applyBorder="1" applyAlignment="1"/>
    <xf numFmtId="0" fontId="10" fillId="0" borderId="29" xfId="0" applyFont="1" applyBorder="1" applyAlignment="1"/>
    <xf numFmtId="0" fontId="10" fillId="0" borderId="28" xfId="0" applyFont="1" applyBorder="1" applyAlignment="1"/>
    <xf numFmtId="0" fontId="4" fillId="4" borderId="28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0" fontId="4" fillId="4" borderId="18" xfId="0" applyFont="1" applyFill="1" applyBorder="1" applyAlignment="1" applyProtection="1">
      <alignment horizontal="left" vertical="center"/>
      <protection locked="0"/>
    </xf>
    <xf numFmtId="0" fontId="10" fillId="0" borderId="19" xfId="0" applyFont="1" applyBorder="1" applyAlignment="1"/>
    <xf numFmtId="0" fontId="10" fillId="0" borderId="20" xfId="0" applyFont="1" applyBorder="1" applyAlignment="1"/>
    <xf numFmtId="0" fontId="7" fillId="6" borderId="9" xfId="0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left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</xf>
    <xf numFmtId="0" fontId="10" fillId="4" borderId="19" xfId="0" applyFont="1" applyFill="1" applyBorder="1" applyAlignment="1"/>
    <xf numFmtId="0" fontId="10" fillId="4" borderId="20" xfId="0" applyFont="1" applyFill="1" applyBorder="1" applyAlignment="1"/>
    <xf numFmtId="0" fontId="10" fillId="4" borderId="3" xfId="0" applyFont="1" applyFill="1" applyBorder="1" applyAlignment="1"/>
    <xf numFmtId="0" fontId="10" fillId="4" borderId="22" xfId="0" applyFont="1" applyFill="1" applyBorder="1" applyAlignment="1"/>
    <xf numFmtId="0" fontId="10" fillId="4" borderId="28" xfId="0" applyFont="1" applyFill="1" applyBorder="1" applyAlignment="1">
      <alignment vertical="center"/>
    </xf>
    <xf numFmtId="0" fontId="10" fillId="4" borderId="27" xfId="0" applyFont="1" applyFill="1" applyBorder="1" applyAlignment="1"/>
    <xf numFmtId="0" fontId="10" fillId="4" borderId="29" xfId="0" applyFont="1" applyFill="1" applyBorder="1" applyAlignment="1"/>
    <xf numFmtId="0" fontId="10" fillId="4" borderId="28" xfId="0" applyFont="1" applyFill="1" applyBorder="1" applyAlignment="1"/>
    <xf numFmtId="0" fontId="7" fillId="4" borderId="1" xfId="0" applyFont="1" applyFill="1" applyBorder="1" applyAlignment="1" applyProtection="1">
      <alignment vertical="center"/>
      <protection locked="0"/>
    </xf>
    <xf numFmtId="4" fontId="7" fillId="4" borderId="1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>
      <alignment horizontal="center" vertical="center"/>
    </xf>
    <xf numFmtId="8" fontId="4" fillId="4" borderId="15" xfId="0" applyNumberFormat="1" applyFont="1" applyFill="1" applyBorder="1" applyAlignment="1" applyProtection="1">
      <alignment horizontal="center" vertical="center"/>
      <protection locked="0"/>
    </xf>
    <xf numFmtId="8" fontId="4" fillId="4" borderId="25" xfId="0" applyNumberFormat="1" applyFont="1" applyFill="1" applyBorder="1" applyAlignment="1" applyProtection="1">
      <alignment horizontal="center" vertical="center"/>
      <protection locked="0"/>
    </xf>
    <xf numFmtId="166" fontId="4" fillId="4" borderId="17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4" fillId="4" borderId="34" xfId="0" applyFont="1" applyFill="1" applyBorder="1" applyAlignment="1" applyProtection="1">
      <alignment vertical="center"/>
      <protection locked="0"/>
    </xf>
    <xf numFmtId="0" fontId="4" fillId="4" borderId="37" xfId="0" applyFont="1" applyFill="1" applyBorder="1" applyAlignment="1" applyProtection="1">
      <alignment vertical="center"/>
      <protection locked="0"/>
    </xf>
    <xf numFmtId="0" fontId="4" fillId="4" borderId="7" xfId="0" applyFont="1" applyFill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0" fontId="5" fillId="4" borderId="28" xfId="0" applyFont="1" applyFill="1" applyBorder="1" applyAlignment="1">
      <alignment horizontal="left" vertical="center"/>
    </xf>
    <xf numFmtId="0" fontId="5" fillId="4" borderId="27" xfId="0" applyFont="1" applyFill="1" applyBorder="1" applyAlignment="1">
      <alignment vertical="center"/>
    </xf>
    <xf numFmtId="0" fontId="0" fillId="4" borderId="11" xfId="0" applyFill="1" applyBorder="1" applyAlignment="1">
      <alignment horizontal="left" vertical="center"/>
    </xf>
    <xf numFmtId="166" fontId="8" fillId="8" borderId="23" xfId="0" applyNumberFormat="1" applyFont="1" applyFill="1" applyBorder="1" applyAlignment="1" applyProtection="1">
      <alignment horizontal="center" vertical="center"/>
    </xf>
    <xf numFmtId="166" fontId="4" fillId="8" borderId="15" xfId="0" applyNumberFormat="1" applyFont="1" applyFill="1" applyBorder="1" applyAlignment="1" applyProtection="1">
      <alignment horizontal="center" vertical="center"/>
      <protection locked="0"/>
    </xf>
    <xf numFmtId="166" fontId="5" fillId="8" borderId="18" xfId="0" applyNumberFormat="1" applyFont="1" applyFill="1" applyBorder="1" applyAlignment="1">
      <alignment horizontal="center" vertical="center"/>
    </xf>
    <xf numFmtId="0" fontId="0" fillId="8" borderId="19" xfId="0" applyFill="1" applyBorder="1" applyAlignment="1">
      <alignment vertical="center"/>
    </xf>
    <xf numFmtId="0" fontId="0" fillId="8" borderId="20" xfId="0" applyFill="1" applyBorder="1" applyAlignment="1">
      <alignment vertical="center"/>
    </xf>
  </cellXfs>
  <cellStyles count="6">
    <cellStyle name="40 % - Accent1" xfId="4" builtinId="31"/>
    <cellStyle name="Accent1" xfId="3" builtinId="29"/>
    <cellStyle name="Monétaire" xfId="1" builtinId="4"/>
    <cellStyle name="Normal" xfId="0" builtinId="0"/>
    <cellStyle name="Normal 2" xfId="2"/>
    <cellStyle name="Währung" xfId="5"/>
  </cellStyles>
  <dxfs count="132"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  <dxf>
      <numFmt numFmtId="171" formatCode=";;;"/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</dxfs>
  <tableStyles count="0" defaultTableStyle="TableStyleMedium9" defaultPivotStyle="PivotStyleLight16"/>
  <colors>
    <mruColors>
      <color rgb="FF00CC00"/>
      <color rgb="FFE63A5F"/>
      <color rgb="FFFFFFCC"/>
      <color rgb="FFFF8080"/>
      <color rgb="FFFAFEC6"/>
      <color rgb="FFFF9966"/>
      <color rgb="FFC2D69A"/>
      <color rgb="FFFF99FF"/>
      <color rgb="FFFFFF66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-amortissement%20hy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8CIK4CU5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>
        <row r="4">
          <cell r="D4">
            <v>194684.98</v>
          </cell>
        </row>
        <row r="5">
          <cell r="D5">
            <v>4.0899999999999999E-2</v>
          </cell>
        </row>
        <row r="6">
          <cell r="D6">
            <v>10</v>
          </cell>
        </row>
        <row r="8">
          <cell r="D8">
            <v>39417</v>
          </cell>
        </row>
        <row r="18">
          <cell r="I18">
            <v>193369.10248947184</v>
          </cell>
        </row>
        <row r="19">
          <cell r="I19">
            <v>192048.74002976198</v>
          </cell>
        </row>
        <row r="20">
          <cell r="I20">
            <v>190723.87733466859</v>
          </cell>
        </row>
        <row r="21">
          <cell r="I21">
            <v>189394.49906588942</v>
          </cell>
        </row>
        <row r="22">
          <cell r="I22">
            <v>188060.58983284418</v>
          </cell>
        </row>
        <row r="23">
          <cell r="I23">
            <v>186722.13419249631</v>
          </cell>
        </row>
        <row r="24">
          <cell r="I24">
            <v>185379.11664917425</v>
          </cell>
        </row>
        <row r="25">
          <cell r="I25">
            <v>184031.52165439201</v>
          </cell>
        </row>
        <row r="26">
          <cell r="I26">
            <v>182679.33360666924</v>
          </cell>
        </row>
        <row r="27">
          <cell r="I27">
            <v>181322.53685135048</v>
          </cell>
        </row>
        <row r="28">
          <cell r="I28">
            <v>179961.115680424</v>
          </cell>
        </row>
        <row r="29">
          <cell r="I29">
            <v>178595.05433233996</v>
          </cell>
        </row>
        <row r="30">
          <cell r="I30">
            <v>177224.33699182785</v>
          </cell>
        </row>
        <row r="31">
          <cell r="I31">
            <v>175848.94778971351</v>
          </cell>
        </row>
        <row r="32">
          <cell r="I32">
            <v>174468.8708027353</v>
          </cell>
        </row>
        <row r="33">
          <cell r="I33">
            <v>173084.0900533598</v>
          </cell>
        </row>
        <row r="34">
          <cell r="I34">
            <v>171694.58950959684</v>
          </cell>
        </row>
        <row r="35">
          <cell r="I35">
            <v>170300.35308481389</v>
          </cell>
        </row>
        <row r="36">
          <cell r="I36">
            <v>168901.36463754979</v>
          </cell>
        </row>
        <row r="37">
          <cell r="I37">
            <v>167497.60797132796</v>
          </cell>
        </row>
        <row r="38">
          <cell r="I38">
            <v>166089.06683446874</v>
          </cell>
        </row>
        <row r="39">
          <cell r="I39">
            <v>164675.7249199014</v>
          </cell>
        </row>
        <row r="40">
          <cell r="I40">
            <v>163257.56586497524</v>
          </cell>
        </row>
        <row r="41">
          <cell r="I41">
            <v>161834.57325127022</v>
          </cell>
        </row>
        <row r="42">
          <cell r="I42">
            <v>160406.73060440682</v>
          </cell>
        </row>
        <row r="43">
          <cell r="I43">
            <v>158974.02139385536</v>
          </cell>
        </row>
        <row r="44">
          <cell r="I44">
            <v>157536.42903274461</v>
          </cell>
        </row>
        <row r="45">
          <cell r="I45">
            <v>156093.93687766971</v>
          </cell>
        </row>
        <row r="46">
          <cell r="I46">
            <v>154646.52822849961</v>
          </cell>
        </row>
        <row r="47">
          <cell r="I47">
            <v>153194.1863281836</v>
          </cell>
        </row>
        <row r="48">
          <cell r="I48">
            <v>151736.89436255733</v>
          </cell>
        </row>
        <row r="49">
          <cell r="I49">
            <v>150274.63546014822</v>
          </cell>
        </row>
        <row r="50">
          <cell r="I50">
            <v>148807.39269198006</v>
          </cell>
        </row>
        <row r="51">
          <cell r="I51">
            <v>147335.14907137706</v>
          </cell>
        </row>
        <row r="52">
          <cell r="I52">
            <v>145857.88755376718</v>
          </cell>
        </row>
        <row r="53">
          <cell r="I53">
            <v>144375.59103648478</v>
          </cell>
        </row>
        <row r="54">
          <cell r="I54">
            <v>142888.24235857264</v>
          </cell>
        </row>
        <row r="55">
          <cell r="I55">
            <v>141395.82430058328</v>
          </cell>
        </row>
        <row r="56">
          <cell r="I56">
            <v>139898.31958437961</v>
          </cell>
        </row>
        <row r="57">
          <cell r="I57">
            <v>138395.71087293487</v>
          </cell>
        </row>
        <row r="58">
          <cell r="I58">
            <v>136887.98077013195</v>
          </cell>
        </row>
        <row r="59">
          <cell r="I59">
            <v>135375.11182056199</v>
          </cell>
        </row>
        <row r="60">
          <cell r="I60">
            <v>133857.08650932225</v>
          </cell>
        </row>
        <row r="61">
          <cell r="I61">
            <v>132333.88726181336</v>
          </cell>
        </row>
        <row r="62">
          <cell r="I62">
            <v>130805.49644353589</v>
          </cell>
        </row>
        <row r="63">
          <cell r="I63">
            <v>129271.89635988612</v>
          </cell>
        </row>
        <row r="64">
          <cell r="I64">
            <v>127733.06925595124</v>
          </cell>
        </row>
        <row r="65">
          <cell r="I65">
            <v>126188.99731630378</v>
          </cell>
        </row>
        <row r="66">
          <cell r="I66">
            <v>124639.66266479535</v>
          </cell>
        </row>
        <row r="67">
          <cell r="I67">
            <v>123085.04736434971</v>
          </cell>
        </row>
        <row r="68">
          <cell r="I68">
            <v>121525.13341675504</v>
          </cell>
        </row>
        <row r="69">
          <cell r="I69">
            <v>119959.90276245565</v>
          </cell>
        </row>
        <row r="70">
          <cell r="I70">
            <v>118389.33728034286</v>
          </cell>
        </row>
        <row r="71">
          <cell r="I71">
            <v>116813.4187875452</v>
          </cell>
        </row>
        <row r="72">
          <cell r="I72">
            <v>115232.12903921792</v>
          </cell>
        </row>
        <row r="73">
          <cell r="I73">
            <v>113645.44972833176</v>
          </cell>
        </row>
        <row r="74">
          <cell r="I74">
            <v>112053.362485461</v>
          </cell>
        </row>
        <row r="75">
          <cell r="I75">
            <v>110455.84887857079</v>
          </cell>
        </row>
        <row r="76">
          <cell r="I76">
            <v>108852.89041280375</v>
          </cell>
        </row>
        <row r="77">
          <cell r="I77">
            <v>107244.46853026591</v>
          </cell>
        </row>
        <row r="78">
          <cell r="I78">
            <v>105630.56460981174</v>
          </cell>
        </row>
        <row r="79">
          <cell r="I79">
            <v>104011.15996682869</v>
          </cell>
        </row>
        <row r="80">
          <cell r="I80">
            <v>102386.23585302081</v>
          </cell>
        </row>
        <row r="81">
          <cell r="I81">
            <v>100755.7734561917</v>
          </cell>
        </row>
        <row r="82">
          <cell r="I82">
            <v>99119.753900026728</v>
          </cell>
        </row>
        <row r="83">
          <cell r="I83">
            <v>97478.158243874495</v>
          </cell>
        </row>
        <row r="84">
          <cell r="I84">
            <v>95830.967482527543</v>
          </cell>
        </row>
        <row r="85">
          <cell r="I85">
            <v>94178.162546002335</v>
          </cell>
        </row>
        <row r="86">
          <cell r="I86">
            <v>92519.724299318463</v>
          </cell>
        </row>
        <row r="87">
          <cell r="I87">
            <v>90855.633542277152</v>
          </cell>
        </row>
        <row r="88">
          <cell r="I88">
            <v>89185.871009238923</v>
          </cell>
        </row>
        <row r="89">
          <cell r="I89">
            <v>87510.417368900584</v>
          </cell>
        </row>
        <row r="90">
          <cell r="I90">
            <v>85829.253224071421</v>
          </cell>
        </row>
        <row r="91">
          <cell r="I91">
            <v>84142.359111448633</v>
          </cell>
        </row>
        <row r="92">
          <cell r="I92">
            <v>82449.715501391998</v>
          </cell>
        </row>
        <row r="93">
          <cell r="I93">
            <v>80751.302797697746</v>
          </cell>
        </row>
        <row r="94">
          <cell r="I94">
            <v>79047.101337371743</v>
          </cell>
        </row>
        <row r="95">
          <cell r="I95">
            <v>77337.091390401794</v>
          </cell>
        </row>
        <row r="96">
          <cell r="I96">
            <v>75621.253159529253</v>
          </cell>
        </row>
        <row r="97">
          <cell r="I97">
            <v>73899.566780019828</v>
          </cell>
        </row>
        <row r="98">
          <cell r="I98">
            <v>72172.012319433576</v>
          </cell>
        </row>
        <row r="99">
          <cell r="I99">
            <v>70438.56977739415</v>
          </cell>
        </row>
        <row r="100">
          <cell r="I100">
            <v>68699.219085357283</v>
          </cell>
        </row>
        <row r="101">
          <cell r="I101">
            <v>66953.940106378388</v>
          </cell>
        </row>
        <row r="102">
          <cell r="I102">
            <v>65202.71263487947</v>
          </cell>
        </row>
        <row r="103">
          <cell r="I103">
            <v>63445.516396415194</v>
          </cell>
        </row>
        <row r="104">
          <cell r="I104">
            <v>61682.331047438151</v>
          </cell>
        </row>
        <row r="105">
          <cell r="I105">
            <v>59913.136175063344</v>
          </cell>
        </row>
        <row r="106">
          <cell r="I106">
            <v>58137.911296831859</v>
          </cell>
        </row>
        <row r="107">
          <cell r="I107">
            <v>56356.635860473732</v>
          </cell>
        </row>
        <row r="108">
          <cell r="I108">
            <v>54569.28924367002</v>
          </cell>
        </row>
        <row r="109">
          <cell r="I109">
            <v>52775.85075381404</v>
          </cell>
        </row>
        <row r="110">
          <cell r="I110">
            <v>50976.299627771798</v>
          </cell>
        </row>
        <row r="111">
          <cell r="I111">
            <v>49170.615031641624</v>
          </cell>
        </row>
        <row r="112">
          <cell r="I112">
            <v>47358.776060512981</v>
          </cell>
        </row>
        <row r="113">
          <cell r="I113">
            <v>45540.761738224406</v>
          </cell>
        </row>
        <row r="114">
          <cell r="I114">
            <v>43716.551017120699</v>
          </cell>
        </row>
        <row r="115">
          <cell r="I115">
            <v>41886.122777809229</v>
          </cell>
        </row>
        <row r="116">
          <cell r="I116">
            <v>40049.455828915437</v>
          </cell>
        </row>
        <row r="117">
          <cell r="I117">
            <v>38206.528906837499</v>
          </cell>
        </row>
        <row r="118">
          <cell r="I118">
            <v>36357.320675500145</v>
          </cell>
        </row>
        <row r="119">
          <cell r="I119">
            <v>34501.809726107647</v>
          </cell>
        </row>
        <row r="120">
          <cell r="I120">
            <v>32639.974576895973</v>
          </cell>
        </row>
        <row r="121">
          <cell r="I121">
            <v>30771.793672884069</v>
          </cell>
        </row>
        <row r="122">
          <cell r="I122">
            <v>28897.245385624323</v>
          </cell>
        </row>
        <row r="123">
          <cell r="I123">
            <v>27016.308012952166</v>
          </cell>
        </row>
        <row r="124">
          <cell r="I124">
            <v>25128.959778734818</v>
          </cell>
        </row>
        <row r="125">
          <cell r="I125">
            <v>23235.178832619178</v>
          </cell>
        </row>
        <row r="126">
          <cell r="I126">
            <v>21334.943249778862</v>
          </cell>
        </row>
        <row r="127">
          <cell r="I127">
            <v>19428.231030660365</v>
          </cell>
        </row>
        <row r="128">
          <cell r="I128">
            <v>17515.020100728372</v>
          </cell>
        </row>
        <row r="129">
          <cell r="I129">
            <v>15595.288310210195</v>
          </cell>
        </row>
        <row r="130">
          <cell r="I130">
            <v>13669.013433839336</v>
          </cell>
        </row>
        <row r="131">
          <cell r="I131">
            <v>11736.17317059818</v>
          </cell>
        </row>
        <row r="132">
          <cell r="I132">
            <v>9796.7451434598097</v>
          </cell>
        </row>
        <row r="133">
          <cell r="I133">
            <v>7850.7068991289434</v>
          </cell>
        </row>
        <row r="134">
          <cell r="I134">
            <v>5898.0359077819821</v>
          </cell>
        </row>
        <row r="135">
          <cell r="I135">
            <v>3938.7095628061802</v>
          </cell>
        </row>
        <row r="136">
          <cell r="I136">
            <v>1972.705180537919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P606"/>
  <sheetViews>
    <sheetView showZeros="0" zoomScale="80" zoomScaleNormal="80" zoomScaleSheetLayoutView="100" workbookViewId="0">
      <selection activeCell="P32" sqref="P32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5" customWidth="1"/>
    <col min="3" max="3" width="1.7109375" style="1" customWidth="1"/>
    <col min="4" max="4" width="13.7109375" style="5" customWidth="1"/>
    <col min="5" max="5" width="1.7109375" style="5" customWidth="1"/>
    <col min="6" max="6" width="13.7109375" style="5" customWidth="1"/>
    <col min="7" max="7" width="1.7109375" style="1" customWidth="1"/>
    <col min="8" max="8" width="13.7109375" style="5" customWidth="1"/>
    <col min="9" max="9" width="1.7109375" style="5" customWidth="1"/>
    <col min="10" max="10" width="13.7109375" style="5" customWidth="1"/>
    <col min="11" max="11" width="1.7109375" style="1" customWidth="1"/>
    <col min="12" max="12" width="13.7109375" style="5" customWidth="1"/>
    <col min="13" max="13" width="1.7109375" style="5" customWidth="1"/>
    <col min="14" max="14" width="13.7109375" style="5" customWidth="1"/>
    <col min="15" max="15" width="5.28515625" style="1" customWidth="1"/>
    <col min="16" max="16" width="34.5703125" style="5" customWidth="1"/>
    <col min="17" max="17" width="1.7109375" style="3" customWidth="1"/>
    <col min="18" max="18" width="15.42578125" style="5" customWidth="1"/>
    <col min="19" max="19" width="1.7109375" style="1" customWidth="1"/>
    <col min="20" max="20" width="14.140625" style="5" bestFit="1" customWidth="1"/>
    <col min="21" max="21" width="1.7109375" style="1" customWidth="1"/>
    <col min="22" max="22" width="15.7109375" style="5" customWidth="1"/>
    <col min="23" max="23" width="1.7109375" style="1" customWidth="1"/>
    <col min="24" max="24" width="14.140625" style="5" bestFit="1" customWidth="1"/>
    <col min="25" max="25" width="1.7109375" style="5" customWidth="1"/>
    <col min="26" max="26" width="13.42578125" style="5" customWidth="1"/>
    <col min="27" max="27" width="16.42578125" style="5" bestFit="1" customWidth="1"/>
    <col min="28" max="60" width="15.7109375" style="5" customWidth="1"/>
    <col min="61" max="16384" width="11.42578125" style="5"/>
  </cols>
  <sheetData>
    <row r="1" spans="2:40" s="1" customFormat="1" ht="20.100000000000001" customHeight="1" x14ac:dyDescent="0.25">
      <c r="Q1" s="3"/>
      <c r="AA1" s="145"/>
      <c r="AB1" s="145"/>
      <c r="AC1" s="145"/>
      <c r="AD1" s="145"/>
      <c r="AE1" s="145"/>
    </row>
    <row r="2" spans="2:40" ht="30" customHeight="1" x14ac:dyDescent="0.25">
      <c r="B2" s="6" t="s">
        <v>67</v>
      </c>
      <c r="C2" s="7"/>
      <c r="D2" s="285" t="s">
        <v>18</v>
      </c>
      <c r="E2" s="286"/>
      <c r="F2" s="287"/>
      <c r="G2" s="8"/>
      <c r="H2" s="285" t="s">
        <v>19</v>
      </c>
      <c r="I2" s="286"/>
      <c r="J2" s="287"/>
      <c r="K2" s="8"/>
      <c r="L2" s="285" t="s">
        <v>66</v>
      </c>
      <c r="M2" s="286"/>
      <c r="N2" s="287"/>
      <c r="O2" s="8"/>
      <c r="P2" s="9" t="s">
        <v>118</v>
      </c>
      <c r="Q2" s="1"/>
      <c r="R2" s="10" t="s">
        <v>31</v>
      </c>
      <c r="T2" s="1"/>
      <c r="V2" s="280"/>
      <c r="W2" s="281"/>
      <c r="X2" s="281"/>
      <c r="Y2" s="2"/>
      <c r="Z2" s="245" t="s">
        <v>115</v>
      </c>
      <c r="AA2" s="12" t="s">
        <v>86</v>
      </c>
      <c r="AB2" s="165" t="s">
        <v>95</v>
      </c>
      <c r="AC2" s="165" t="s">
        <v>99</v>
      </c>
      <c r="AD2" s="165" t="s">
        <v>84</v>
      </c>
      <c r="AE2" s="145"/>
      <c r="AF2" s="1"/>
      <c r="AG2" s="4"/>
      <c r="AH2" s="12" t="s">
        <v>78</v>
      </c>
      <c r="AI2" s="165" t="s">
        <v>79</v>
      </c>
      <c r="AJ2" s="165" t="s">
        <v>80</v>
      </c>
      <c r="AK2" s="165" t="s">
        <v>81</v>
      </c>
      <c r="AL2" s="165" t="s">
        <v>82</v>
      </c>
      <c r="AM2" s="165" t="s">
        <v>74</v>
      </c>
      <c r="AN2" s="1"/>
    </row>
    <row r="3" spans="2:40" ht="9.9499999999999993" customHeight="1" x14ac:dyDescent="0.25">
      <c r="B3" s="13"/>
      <c r="C3" s="7"/>
      <c r="D3" s="221"/>
      <c r="E3" s="222"/>
      <c r="F3" s="222"/>
      <c r="G3" s="8"/>
      <c r="H3" s="221"/>
      <c r="I3" s="222"/>
      <c r="J3" s="222"/>
      <c r="K3" s="8"/>
      <c r="L3" s="221"/>
      <c r="M3" s="222"/>
      <c r="N3" s="222"/>
      <c r="O3" s="8"/>
      <c r="Q3" s="1"/>
      <c r="T3" s="1"/>
      <c r="V3" s="2"/>
      <c r="W3" s="2"/>
      <c r="X3" s="2"/>
      <c r="Y3" s="2"/>
      <c r="Z3" s="14"/>
      <c r="AA3" s="14"/>
      <c r="AB3" s="14"/>
      <c r="AC3" s="14"/>
      <c r="AD3" s="14"/>
      <c r="AE3" s="145"/>
      <c r="AF3" s="1"/>
      <c r="AG3" s="4"/>
      <c r="AH3" s="14"/>
      <c r="AI3" s="14"/>
      <c r="AJ3" s="14"/>
      <c r="AK3" s="14"/>
      <c r="AL3" s="14"/>
      <c r="AM3" s="14"/>
      <c r="AN3" s="1"/>
    </row>
    <row r="4" spans="2:40" ht="20.100000000000001" customHeight="1" x14ac:dyDescent="0.25">
      <c r="B4" s="15" t="s">
        <v>4</v>
      </c>
      <c r="C4" s="7"/>
      <c r="D4" s="282"/>
      <c r="E4" s="283"/>
      <c r="F4" s="284"/>
      <c r="G4" s="8"/>
      <c r="H4" s="282"/>
      <c r="I4" s="283"/>
      <c r="J4" s="284"/>
      <c r="K4" s="8"/>
      <c r="L4" s="16"/>
      <c r="M4" s="16"/>
      <c r="N4" s="16"/>
      <c r="O4" s="8"/>
      <c r="P4" s="17" t="s">
        <v>44</v>
      </c>
      <c r="Q4" s="7"/>
      <c r="R4" s="18">
        <v>100000</v>
      </c>
      <c r="T4" s="1"/>
      <c r="V4" s="7"/>
      <c r="W4" s="79"/>
      <c r="X4" s="79"/>
      <c r="Y4" s="2"/>
      <c r="Z4" s="246"/>
      <c r="AA4" s="22">
        <v>10</v>
      </c>
      <c r="AB4" s="23">
        <v>4.0899999999999999E-2</v>
      </c>
      <c r="AC4" s="23">
        <v>4.7699999999999999E-2</v>
      </c>
      <c r="AD4" s="23">
        <v>4.9200000000000001E-2</v>
      </c>
      <c r="AE4" s="145"/>
      <c r="AF4" s="1"/>
      <c r="AG4" s="4"/>
      <c r="AH4" s="22">
        <v>10</v>
      </c>
      <c r="AI4" s="23">
        <v>3.6499999999999998E-2</v>
      </c>
      <c r="AJ4" s="23">
        <v>3.7499999999999999E-2</v>
      </c>
      <c r="AK4" s="23">
        <v>3.9600000000000003E-2</v>
      </c>
      <c r="AL4" s="23">
        <v>4.41E-2</v>
      </c>
      <c r="AM4" s="23">
        <v>4.1399999999999999E-2</v>
      </c>
      <c r="AN4" s="1"/>
    </row>
    <row r="5" spans="2:40" ht="20.100000000000001" customHeight="1" x14ac:dyDescent="0.25">
      <c r="B5" s="24" t="s">
        <v>5</v>
      </c>
      <c r="C5" s="7"/>
      <c r="D5" s="272"/>
      <c r="E5" s="273"/>
      <c r="F5" s="274"/>
      <c r="G5" s="8"/>
      <c r="H5" s="272"/>
      <c r="I5" s="273"/>
      <c r="J5" s="274"/>
      <c r="K5" s="8"/>
      <c r="L5" s="16"/>
      <c r="M5" s="16"/>
      <c r="N5" s="16"/>
      <c r="O5" s="8"/>
      <c r="P5" s="25" t="s">
        <v>45</v>
      </c>
      <c r="Q5" s="2"/>
      <c r="R5" s="26"/>
      <c r="T5" s="1"/>
      <c r="V5" s="116"/>
      <c r="W5" s="79"/>
      <c r="X5" s="79"/>
      <c r="Y5" s="2"/>
      <c r="Z5" s="246"/>
      <c r="AA5" s="22">
        <v>15</v>
      </c>
      <c r="AB5" s="23">
        <v>4.2500000000000003E-2</v>
      </c>
      <c r="AC5" s="23">
        <v>4.9200000000000001E-2</v>
      </c>
      <c r="AD5" s="23">
        <v>5.2600000000000001E-2</v>
      </c>
      <c r="AE5" s="145"/>
      <c r="AF5" s="1"/>
      <c r="AG5" s="4"/>
      <c r="AH5" s="22">
        <v>15</v>
      </c>
      <c r="AI5" s="23">
        <v>3.8300000000000001E-2</v>
      </c>
      <c r="AJ5" s="23">
        <v>3.8199999999999998E-2</v>
      </c>
      <c r="AK5" s="23">
        <v>4.07E-2</v>
      </c>
      <c r="AL5" s="23">
        <v>4.6399999999999997E-2</v>
      </c>
      <c r="AM5" s="23">
        <v>4.3900000000000002E-2</v>
      </c>
      <c r="AN5" s="1"/>
    </row>
    <row r="6" spans="2:40" ht="20.100000000000001" customHeight="1" x14ac:dyDescent="0.25">
      <c r="B6" s="24" t="s">
        <v>20</v>
      </c>
      <c r="C6" s="7"/>
      <c r="D6" s="272"/>
      <c r="E6" s="273"/>
      <c r="F6" s="274"/>
      <c r="G6" s="8"/>
      <c r="H6" s="272"/>
      <c r="I6" s="273"/>
      <c r="J6" s="274"/>
      <c r="K6" s="8"/>
      <c r="L6" s="282"/>
      <c r="M6" s="283"/>
      <c r="N6" s="284"/>
      <c r="O6" s="8"/>
      <c r="P6" s="25" t="s">
        <v>27</v>
      </c>
      <c r="Q6" s="2"/>
      <c r="R6" s="28">
        <f>R5*21%</f>
        <v>0</v>
      </c>
      <c r="T6" s="1"/>
      <c r="V6" s="116"/>
      <c r="W6" s="79"/>
      <c r="X6" s="79"/>
      <c r="Y6" s="2"/>
      <c r="Z6" s="246"/>
      <c r="AA6" s="22">
        <v>20</v>
      </c>
      <c r="AB6" s="23">
        <v>4.41E-2</v>
      </c>
      <c r="AC6" s="23">
        <v>5.0799999999999998E-2</v>
      </c>
      <c r="AD6" s="23">
        <v>5.3199999999999997E-2</v>
      </c>
      <c r="AE6" s="145"/>
      <c r="AF6" s="1"/>
      <c r="AG6" s="4"/>
      <c r="AH6" s="22">
        <v>20</v>
      </c>
      <c r="AI6" s="23">
        <v>4.0500000000000001E-2</v>
      </c>
      <c r="AJ6" s="23">
        <v>0.04</v>
      </c>
      <c r="AK6" s="23">
        <v>4.24E-2</v>
      </c>
      <c r="AL6" s="23">
        <v>4.82E-2</v>
      </c>
      <c r="AM6" s="23">
        <v>4.6800000000000001E-2</v>
      </c>
      <c r="AN6" s="1"/>
    </row>
    <row r="7" spans="2:40" ht="20.100000000000001" customHeight="1" x14ac:dyDescent="0.25">
      <c r="B7" s="24" t="s">
        <v>21</v>
      </c>
      <c r="C7" s="4"/>
      <c r="D7" s="272"/>
      <c r="E7" s="273"/>
      <c r="F7" s="274"/>
      <c r="G7" s="8"/>
      <c r="H7" s="272"/>
      <c r="I7" s="273"/>
      <c r="J7" s="274"/>
      <c r="K7" s="8"/>
      <c r="L7" s="272"/>
      <c r="M7" s="273"/>
      <c r="N7" s="274"/>
      <c r="O7" s="8"/>
      <c r="P7" s="30" t="s">
        <v>46</v>
      </c>
      <c r="Q7" s="2"/>
      <c r="R7" s="26">
        <f>R5+R6</f>
        <v>0</v>
      </c>
      <c r="T7" s="1"/>
      <c r="V7" s="116"/>
      <c r="W7" s="79"/>
      <c r="X7" s="79"/>
      <c r="Y7" s="2"/>
      <c r="Z7" s="105"/>
      <c r="AA7" s="22">
        <v>25</v>
      </c>
      <c r="AB7" s="23">
        <v>4.5100000000000001E-2</v>
      </c>
      <c r="AC7" s="23">
        <v>5.1799999999999999E-2</v>
      </c>
      <c r="AD7" s="23">
        <v>5.4199999999999998E-2</v>
      </c>
      <c r="AE7" s="145"/>
      <c r="AF7" s="1"/>
      <c r="AG7" s="4"/>
      <c r="AH7" s="22">
        <v>25</v>
      </c>
      <c r="AI7" s="23">
        <v>4.1700000000000001E-2</v>
      </c>
      <c r="AJ7" s="23">
        <v>4.1399999999999999E-2</v>
      </c>
      <c r="AK7" s="23">
        <v>4.3700000000000003E-2</v>
      </c>
      <c r="AL7" s="14"/>
      <c r="AM7" s="23">
        <v>4.8599999999999997E-2</v>
      </c>
      <c r="AN7" s="1"/>
    </row>
    <row r="8" spans="2:40" ht="20.100000000000001" customHeight="1" x14ac:dyDescent="0.25">
      <c r="B8" s="24" t="s">
        <v>22</v>
      </c>
      <c r="C8" s="7"/>
      <c r="D8" s="272"/>
      <c r="E8" s="273"/>
      <c r="F8" s="274"/>
      <c r="G8" s="8"/>
      <c r="H8" s="272"/>
      <c r="I8" s="273"/>
      <c r="J8" s="274"/>
      <c r="K8" s="8"/>
      <c r="L8" s="272"/>
      <c r="M8" s="273"/>
      <c r="N8" s="274"/>
      <c r="O8" s="8"/>
      <c r="P8" s="187" t="s">
        <v>107</v>
      </c>
      <c r="Q8" s="2"/>
      <c r="R8" s="188">
        <f>R4+R7+J39</f>
        <v>100000</v>
      </c>
      <c r="T8" s="1"/>
      <c r="V8" s="79"/>
      <c r="W8" s="79"/>
      <c r="X8" s="79"/>
      <c r="Y8" s="2"/>
      <c r="Z8" s="105"/>
      <c r="AA8" s="105"/>
      <c r="AB8" s="14"/>
      <c r="AC8" s="14"/>
      <c r="AD8" s="14"/>
      <c r="AE8" s="4"/>
      <c r="AF8" s="4"/>
      <c r="AG8" s="4"/>
      <c r="AH8" s="22">
        <v>30</v>
      </c>
      <c r="AI8" s="14"/>
      <c r="AJ8" s="14"/>
      <c r="AK8" s="14"/>
      <c r="AL8" s="14"/>
      <c r="AM8" s="23">
        <v>5.1200000000000002E-2</v>
      </c>
      <c r="AN8" s="1"/>
    </row>
    <row r="9" spans="2:40" ht="20.100000000000001" customHeight="1" x14ac:dyDescent="0.25">
      <c r="B9" s="32" t="s">
        <v>23</v>
      </c>
      <c r="C9" s="7"/>
      <c r="D9" s="275"/>
      <c r="E9" s="276"/>
      <c r="F9" s="277"/>
      <c r="G9" s="8"/>
      <c r="H9" s="278"/>
      <c r="I9" s="276"/>
      <c r="J9" s="277"/>
      <c r="K9" s="8"/>
      <c r="L9" s="279"/>
      <c r="M9" s="276"/>
      <c r="N9" s="277"/>
      <c r="O9" s="33"/>
      <c r="P9" s="79"/>
      <c r="Q9" s="2"/>
      <c r="R9" s="33"/>
      <c r="T9" s="1"/>
      <c r="V9" s="79"/>
      <c r="W9" s="79"/>
      <c r="X9" s="79"/>
      <c r="Y9" s="2"/>
      <c r="Z9" s="105"/>
      <c r="AA9" s="105"/>
      <c r="AB9" s="14"/>
      <c r="AC9" s="14"/>
      <c r="AD9" s="14"/>
      <c r="AE9" s="4"/>
      <c r="AF9" s="4"/>
      <c r="AG9" s="4"/>
      <c r="AH9" s="4"/>
      <c r="AI9" s="4"/>
      <c r="AJ9" s="4"/>
      <c r="AK9" s="4"/>
      <c r="AL9" s="4"/>
      <c r="AM9" s="4"/>
      <c r="AN9" s="1"/>
    </row>
    <row r="10" spans="2:40" ht="20.100000000000001" customHeight="1" x14ac:dyDescent="0.25">
      <c r="B10" s="2"/>
      <c r="C10" s="7"/>
      <c r="D10" s="16"/>
      <c r="E10" s="35"/>
      <c r="F10" s="35"/>
      <c r="G10" s="33"/>
      <c r="H10" s="16"/>
      <c r="I10" s="35"/>
      <c r="J10" s="35"/>
      <c r="K10" s="33"/>
      <c r="L10" s="16"/>
      <c r="M10" s="16"/>
      <c r="N10" s="16"/>
      <c r="O10" s="8"/>
      <c r="Q10" s="1"/>
      <c r="T10" s="1"/>
      <c r="V10" s="36"/>
      <c r="X10" s="1"/>
      <c r="Y10" s="1"/>
      <c r="Z10" s="144"/>
      <c r="AA10" s="144"/>
      <c r="AB10" s="14"/>
      <c r="AC10" s="14"/>
      <c r="AD10" s="14"/>
      <c r="AE10" s="4"/>
      <c r="AF10" s="4"/>
      <c r="AG10" s="4"/>
      <c r="AH10" s="4"/>
      <c r="AI10" s="4"/>
      <c r="AJ10" s="4"/>
      <c r="AK10" s="4"/>
      <c r="AL10" s="4"/>
      <c r="AM10" s="4"/>
      <c r="AN10" s="1"/>
    </row>
    <row r="11" spans="2:40" ht="30" customHeight="1" x14ac:dyDescent="0.25">
      <c r="B11" s="201" t="s">
        <v>35</v>
      </c>
      <c r="C11" s="7"/>
      <c r="D11" s="6" t="s">
        <v>40</v>
      </c>
      <c r="E11" s="39"/>
      <c r="F11" s="199" t="s">
        <v>108</v>
      </c>
      <c r="G11" s="8"/>
      <c r="H11" s="198" t="s">
        <v>24</v>
      </c>
      <c r="I11" s="42"/>
      <c r="J11" s="197" t="s">
        <v>37</v>
      </c>
      <c r="K11" s="8"/>
      <c r="L11" s="197" t="s">
        <v>32</v>
      </c>
      <c r="M11" s="42"/>
      <c r="N11" s="197" t="s">
        <v>33</v>
      </c>
      <c r="O11" s="37"/>
      <c r="P11" s="38" t="s">
        <v>119</v>
      </c>
      <c r="Q11" s="2"/>
      <c r="R11" s="6" t="s">
        <v>29</v>
      </c>
      <c r="T11" s="6" t="s">
        <v>27</v>
      </c>
      <c r="V11" s="6" t="s">
        <v>28</v>
      </c>
      <c r="X11" s="1"/>
      <c r="Y11" s="1"/>
      <c r="Z11" s="247" t="s">
        <v>116</v>
      </c>
      <c r="AA11" s="12" t="s">
        <v>102</v>
      </c>
      <c r="AB11" s="165" t="s">
        <v>95</v>
      </c>
      <c r="AC11" s="165" t="s">
        <v>100</v>
      </c>
      <c r="AD11" s="165" t="s">
        <v>84</v>
      </c>
      <c r="AE11" s="4"/>
      <c r="AF11" s="4"/>
      <c r="AG11" s="4"/>
      <c r="AH11" s="11"/>
      <c r="AI11" s="166"/>
      <c r="AJ11" s="166"/>
      <c r="AK11" s="166"/>
      <c r="AL11" s="166"/>
      <c r="AM11" s="166"/>
      <c r="AN11" s="1"/>
    </row>
    <row r="12" spans="2:40" ht="18.75" customHeight="1" x14ac:dyDescent="0.25">
      <c r="B12" s="2"/>
      <c r="C12" s="39"/>
      <c r="D12" s="16"/>
      <c r="E12" s="35"/>
      <c r="F12" s="35"/>
      <c r="G12" s="37"/>
      <c r="H12" s="16"/>
      <c r="I12" s="35"/>
      <c r="J12" s="35"/>
      <c r="K12" s="37"/>
      <c r="L12" s="16"/>
      <c r="M12" s="16"/>
      <c r="N12" s="16"/>
      <c r="O12" s="8"/>
      <c r="P12" s="40"/>
      <c r="Q12" s="2"/>
      <c r="R12" s="41"/>
      <c r="X12" s="1"/>
      <c r="Y12" s="1"/>
      <c r="Z12" s="144"/>
      <c r="AA12" s="14"/>
      <c r="AB12" s="14"/>
      <c r="AC12" s="14"/>
      <c r="AD12" s="14"/>
      <c r="AE12" s="4"/>
      <c r="AF12" s="2"/>
      <c r="AG12" s="2"/>
      <c r="AH12" s="2"/>
      <c r="AI12" s="2"/>
      <c r="AJ12" s="2"/>
      <c r="AK12" s="2"/>
      <c r="AL12" s="2"/>
      <c r="AM12" s="2"/>
      <c r="AN12" s="1"/>
    </row>
    <row r="13" spans="2:40" ht="20.100000000000001" customHeight="1" x14ac:dyDescent="0.25">
      <c r="B13" s="200" t="s">
        <v>34</v>
      </c>
      <c r="C13" s="39"/>
      <c r="D13" s="1"/>
      <c r="E13" s="1"/>
      <c r="F13" s="1"/>
      <c r="H13" s="1"/>
      <c r="I13" s="1"/>
      <c r="J13" s="1"/>
      <c r="L13" s="1"/>
      <c r="M13" s="1"/>
      <c r="N13" s="1"/>
      <c r="O13" s="8"/>
      <c r="P13" s="43" t="s">
        <v>54</v>
      </c>
      <c r="Q13" s="44"/>
      <c r="R13" s="18"/>
      <c r="T13" s="45">
        <f t="shared" ref="T13:T19" si="0">R13*21%</f>
        <v>0</v>
      </c>
      <c r="V13" s="46">
        <f t="shared" ref="V13:V19" si="1">R13+T13</f>
        <v>0</v>
      </c>
      <c r="X13" s="1"/>
      <c r="Y13" s="1"/>
      <c r="Z13" s="248"/>
      <c r="AA13" s="22">
        <v>10</v>
      </c>
      <c r="AB13" s="23">
        <v>3.5700000000000003E-2</v>
      </c>
      <c r="AC13" s="23">
        <v>3.73E-2</v>
      </c>
      <c r="AD13" s="23">
        <v>3.9300000000000002E-2</v>
      </c>
      <c r="AE13" s="4"/>
      <c r="AF13" s="2"/>
      <c r="AG13" s="2"/>
      <c r="AH13" s="48"/>
      <c r="AI13" s="21"/>
      <c r="AJ13" s="21"/>
      <c r="AK13" s="21"/>
      <c r="AL13" s="21"/>
      <c r="AM13" s="21"/>
      <c r="AN13" s="1"/>
    </row>
    <row r="14" spans="2:40" ht="20.100000000000001" customHeight="1" x14ac:dyDescent="0.25">
      <c r="B14" s="49"/>
      <c r="C14" s="39"/>
      <c r="D14" s="50"/>
      <c r="E14" s="8"/>
      <c r="F14" s="51"/>
      <c r="G14" s="8"/>
      <c r="H14" s="42"/>
      <c r="I14" s="8"/>
      <c r="J14" s="42"/>
      <c r="K14" s="8"/>
      <c r="L14" s="8"/>
      <c r="M14" s="8"/>
      <c r="N14" s="8"/>
      <c r="O14" s="8"/>
      <c r="P14" s="52" t="s">
        <v>61</v>
      </c>
      <c r="Q14" s="53"/>
      <c r="R14" s="54"/>
      <c r="T14" s="55">
        <f t="shared" si="0"/>
        <v>0</v>
      </c>
      <c r="V14" s="56">
        <f t="shared" si="1"/>
        <v>0</v>
      </c>
      <c r="X14" s="1"/>
      <c r="Y14" s="1"/>
      <c r="Z14" s="144"/>
      <c r="AA14" s="22">
        <v>15</v>
      </c>
      <c r="AB14" s="23">
        <v>3.73E-2</v>
      </c>
      <c r="AC14" s="23">
        <v>3.8699999999999998E-2</v>
      </c>
      <c r="AD14" s="23">
        <v>4.2299999999999997E-2</v>
      </c>
      <c r="AE14" s="4"/>
      <c r="AF14" s="2"/>
      <c r="AG14" s="2"/>
      <c r="AH14" s="48"/>
      <c r="AI14" s="21"/>
      <c r="AJ14" s="21"/>
      <c r="AK14" s="21"/>
      <c r="AL14" s="21"/>
      <c r="AM14" s="21"/>
      <c r="AN14" s="1"/>
    </row>
    <row r="15" spans="2:40" ht="20.100000000000001" customHeight="1" x14ac:dyDescent="0.25">
      <c r="B15" s="250"/>
      <c r="C15" s="39"/>
      <c r="D15" s="18"/>
      <c r="E15" s="8"/>
      <c r="F15" s="232"/>
      <c r="G15" s="8"/>
      <c r="H15" s="58"/>
      <c r="I15" s="8"/>
      <c r="J15" s="18"/>
      <c r="K15" s="8"/>
      <c r="L15" s="59"/>
      <c r="M15" s="8"/>
      <c r="N15" s="18"/>
      <c r="O15" s="8"/>
      <c r="P15" s="52" t="s">
        <v>55</v>
      </c>
      <c r="Q15" s="53"/>
      <c r="R15" s="54"/>
      <c r="T15" s="55">
        <f t="shared" si="0"/>
        <v>0</v>
      </c>
      <c r="V15" s="56">
        <f t="shared" si="1"/>
        <v>0</v>
      </c>
      <c r="X15" s="1"/>
      <c r="Y15" s="1"/>
      <c r="Z15" s="144"/>
      <c r="AA15" s="22">
        <v>20</v>
      </c>
      <c r="AB15" s="23">
        <v>3.9199999999999999E-2</v>
      </c>
      <c r="AC15" s="23">
        <v>4.0500000000000001E-2</v>
      </c>
      <c r="AD15" s="23">
        <v>4.48E-2</v>
      </c>
      <c r="AE15" s="4"/>
      <c r="AF15" s="2"/>
      <c r="AG15" s="2"/>
      <c r="AH15" s="48"/>
      <c r="AI15" s="21"/>
      <c r="AJ15" s="21"/>
      <c r="AK15" s="21"/>
      <c r="AL15" s="21"/>
      <c r="AM15" s="21"/>
      <c r="AN15" s="1"/>
    </row>
    <row r="16" spans="2:40" ht="20.100000000000001" customHeight="1" x14ac:dyDescent="0.25">
      <c r="B16" s="251"/>
      <c r="C16" s="39"/>
      <c r="D16" s="26"/>
      <c r="E16" s="8"/>
      <c r="F16" s="233"/>
      <c r="G16" s="8"/>
      <c r="H16" s="61"/>
      <c r="I16" s="8"/>
      <c r="J16" s="26"/>
      <c r="K16" s="8"/>
      <c r="L16" s="62"/>
      <c r="M16" s="8"/>
      <c r="N16" s="26"/>
      <c r="O16" s="8"/>
      <c r="P16" s="52" t="s">
        <v>30</v>
      </c>
      <c r="Q16" s="53"/>
      <c r="R16" s="54"/>
      <c r="T16" s="55">
        <f t="shared" si="0"/>
        <v>0</v>
      </c>
      <c r="V16" s="56">
        <f t="shared" si="1"/>
        <v>0</v>
      </c>
      <c r="X16" s="1"/>
      <c r="Y16" s="1"/>
      <c r="Z16" s="144"/>
      <c r="AA16" s="22">
        <v>25</v>
      </c>
      <c r="AB16" s="23">
        <v>4.0500000000000001E-2</v>
      </c>
      <c r="AC16" s="23">
        <v>4.1700000000000001E-2</v>
      </c>
      <c r="AD16" s="23">
        <v>4.6699999999999998E-2</v>
      </c>
      <c r="AE16" s="4"/>
      <c r="AF16" s="2"/>
      <c r="AG16" s="2"/>
      <c r="AH16" s="48"/>
      <c r="AI16" s="21"/>
      <c r="AJ16" s="21"/>
      <c r="AK16" s="21"/>
      <c r="AL16" s="2"/>
      <c r="AM16" s="21"/>
      <c r="AN16" s="1"/>
    </row>
    <row r="17" spans="1:40" ht="20.100000000000001" customHeight="1" x14ac:dyDescent="0.25">
      <c r="B17" s="251"/>
      <c r="C17" s="39"/>
      <c r="D17" s="26"/>
      <c r="E17" s="8"/>
      <c r="F17" s="233"/>
      <c r="G17" s="8"/>
      <c r="H17" s="61"/>
      <c r="I17" s="8"/>
      <c r="J17" s="26"/>
      <c r="K17" s="8"/>
      <c r="L17" s="62"/>
      <c r="M17" s="8"/>
      <c r="N17" s="26"/>
      <c r="O17" s="8"/>
      <c r="P17" s="63" t="s">
        <v>12</v>
      </c>
      <c r="Q17" s="53"/>
      <c r="R17" s="54"/>
      <c r="T17" s="55">
        <f t="shared" si="0"/>
        <v>0</v>
      </c>
      <c r="V17" s="56">
        <f t="shared" si="1"/>
        <v>0</v>
      </c>
      <c r="X17" s="1"/>
      <c r="Y17" s="1"/>
      <c r="Z17" s="144"/>
      <c r="AA17" s="22">
        <v>30</v>
      </c>
      <c r="AB17" s="165"/>
      <c r="AC17" s="165"/>
      <c r="AD17" s="23">
        <v>4.9700000000000001E-2</v>
      </c>
      <c r="AE17" s="4"/>
      <c r="AF17" s="2"/>
      <c r="AG17" s="2"/>
      <c r="AH17" s="48"/>
      <c r="AI17" s="2"/>
      <c r="AJ17" s="2"/>
      <c r="AK17" s="2"/>
      <c r="AL17" s="2"/>
      <c r="AM17" s="21"/>
      <c r="AN17" s="1"/>
    </row>
    <row r="18" spans="1:40" ht="20.100000000000001" customHeight="1" x14ac:dyDescent="0.25">
      <c r="B18" s="251"/>
      <c r="C18" s="39"/>
      <c r="D18" s="26"/>
      <c r="E18" s="8"/>
      <c r="F18" s="233"/>
      <c r="G18" s="8"/>
      <c r="H18" s="61"/>
      <c r="I18" s="8"/>
      <c r="J18" s="26"/>
      <c r="K18" s="8"/>
      <c r="L18" s="62"/>
      <c r="M18" s="8"/>
      <c r="N18" s="26"/>
      <c r="O18" s="8"/>
      <c r="P18" s="63" t="s">
        <v>56</v>
      </c>
      <c r="Q18" s="53"/>
      <c r="R18" s="54"/>
      <c r="T18" s="55">
        <f t="shared" si="0"/>
        <v>0</v>
      </c>
      <c r="V18" s="56">
        <f t="shared" si="1"/>
        <v>0</v>
      </c>
      <c r="X18" s="1"/>
      <c r="Y18" s="1"/>
      <c r="Z18" s="144"/>
      <c r="AA18" s="220"/>
      <c r="AB18" s="220"/>
      <c r="AC18" s="14"/>
      <c r="AD18" s="14"/>
      <c r="AE18" s="4"/>
      <c r="AF18" s="2"/>
      <c r="AG18" s="2"/>
      <c r="AH18" s="2"/>
      <c r="AI18" s="2"/>
      <c r="AJ18" s="2"/>
      <c r="AK18" s="2"/>
      <c r="AL18" s="2"/>
      <c r="AM18" s="2"/>
      <c r="AN18" s="1"/>
    </row>
    <row r="19" spans="1:40" ht="20.100000000000001" customHeight="1" x14ac:dyDescent="0.25">
      <c r="B19" s="251"/>
      <c r="C19" s="39"/>
      <c r="D19" s="26"/>
      <c r="E19" s="8"/>
      <c r="F19" s="233"/>
      <c r="G19" s="8"/>
      <c r="H19" s="61"/>
      <c r="I19" s="8"/>
      <c r="J19" s="26"/>
      <c r="K19" s="8"/>
      <c r="L19" s="62"/>
      <c r="M19" s="8"/>
      <c r="N19" s="26"/>
      <c r="O19" s="8"/>
      <c r="P19" s="181" t="s">
        <v>57</v>
      </c>
      <c r="Q19" s="53"/>
      <c r="R19" s="182"/>
      <c r="T19" s="64">
        <f t="shared" si="0"/>
        <v>0</v>
      </c>
      <c r="V19" s="56">
        <f t="shared" si="1"/>
        <v>0</v>
      </c>
      <c r="X19" s="1"/>
      <c r="Y19" s="1"/>
      <c r="Z19" s="144"/>
      <c r="AA19" s="144"/>
      <c r="AB19" s="144"/>
      <c r="AC19" s="144"/>
      <c r="AD19" s="144"/>
      <c r="AE19" s="4"/>
      <c r="AF19" s="2"/>
      <c r="AG19" s="2"/>
      <c r="AH19" s="12"/>
      <c r="AI19" s="16"/>
      <c r="AJ19" s="16"/>
      <c r="AK19" s="16"/>
      <c r="AL19" s="16"/>
      <c r="AM19" s="16"/>
      <c r="AN19" s="1"/>
    </row>
    <row r="20" spans="1:40" ht="20.100000000000001" customHeight="1" x14ac:dyDescent="0.25">
      <c r="B20" s="252"/>
      <c r="C20" s="39"/>
      <c r="D20" s="65"/>
      <c r="E20" s="8"/>
      <c r="F20" s="234"/>
      <c r="G20" s="8"/>
      <c r="H20" s="66"/>
      <c r="I20" s="8"/>
      <c r="J20" s="65"/>
      <c r="K20" s="8"/>
      <c r="L20" s="67"/>
      <c r="M20" s="8"/>
      <c r="N20" s="65"/>
      <c r="O20" s="8"/>
      <c r="P20" s="189" t="s">
        <v>10</v>
      </c>
      <c r="Q20" s="53"/>
      <c r="R20" s="29"/>
      <c r="T20" s="1"/>
      <c r="V20" s="188">
        <f>SUM(V13:V19)</f>
        <v>0</v>
      </c>
      <c r="Y20" s="1"/>
      <c r="Z20" s="247" t="s">
        <v>116</v>
      </c>
      <c r="AA20" s="12" t="s">
        <v>101</v>
      </c>
      <c r="AB20" s="165" t="s">
        <v>95</v>
      </c>
      <c r="AC20" s="165" t="s">
        <v>100</v>
      </c>
      <c r="AD20" s="165" t="s">
        <v>84</v>
      </c>
      <c r="AE20" s="4"/>
      <c r="AF20" s="2"/>
      <c r="AG20" s="2"/>
      <c r="AH20" s="48"/>
      <c r="AI20" s="68"/>
      <c r="AJ20" s="68"/>
      <c r="AK20" s="68"/>
      <c r="AL20" s="68"/>
      <c r="AM20" s="68"/>
      <c r="AN20" s="1"/>
    </row>
    <row r="21" spans="1:40" ht="20.100000000000001" customHeight="1" x14ac:dyDescent="0.25">
      <c r="B21" s="69"/>
      <c r="C21" s="39"/>
      <c r="D21" s="70">
        <f>SUM(D15:D20)</f>
        <v>0</v>
      </c>
      <c r="E21" s="8"/>
      <c r="F21" s="37"/>
      <c r="G21" s="8"/>
      <c r="H21" s="8"/>
      <c r="I21" s="8"/>
      <c r="J21" s="71">
        <f>SUM(J15:J20)</f>
        <v>0</v>
      </c>
      <c r="K21" s="8"/>
      <c r="L21" s="8"/>
      <c r="M21" s="8"/>
      <c r="N21" s="71">
        <f>SUM(N15:N20)</f>
        <v>0</v>
      </c>
      <c r="O21" s="8"/>
      <c r="P21" s="73"/>
      <c r="Q21" s="53"/>
      <c r="R21" s="29"/>
      <c r="T21" s="1"/>
      <c r="V21" s="74"/>
      <c r="X21" s="1"/>
      <c r="Y21" s="1"/>
      <c r="Z21" s="144"/>
      <c r="AA21" s="220"/>
      <c r="AB21" s="220"/>
      <c r="AC21" s="220"/>
      <c r="AD21" s="220"/>
      <c r="AE21" s="4"/>
      <c r="AF21" s="2"/>
      <c r="AG21" s="2"/>
      <c r="AH21" s="48"/>
      <c r="AI21" s="68"/>
      <c r="AJ21" s="68"/>
      <c r="AK21" s="68"/>
      <c r="AL21" s="68"/>
      <c r="AM21" s="68"/>
      <c r="AN21" s="1"/>
    </row>
    <row r="22" spans="1:40" ht="20.100000000000001" customHeight="1" x14ac:dyDescent="0.25">
      <c r="B22" s="69"/>
      <c r="C22" s="39"/>
      <c r="D22" s="72"/>
      <c r="E22" s="8"/>
      <c r="F22" s="37"/>
      <c r="G22" s="8"/>
      <c r="H22" s="8"/>
      <c r="I22" s="8"/>
      <c r="J22" s="8"/>
      <c r="K22" s="8"/>
      <c r="L22" s="8"/>
      <c r="M22" s="8"/>
      <c r="N22" s="8"/>
      <c r="O22" s="8"/>
      <c r="P22" s="221"/>
      <c r="Q22" s="2"/>
      <c r="R22" s="224"/>
      <c r="S22" s="35"/>
      <c r="T22" s="35"/>
      <c r="U22" s="35"/>
      <c r="V22" s="35"/>
      <c r="W22" s="35"/>
      <c r="X22" s="35"/>
      <c r="Y22" s="35"/>
      <c r="Z22" s="249"/>
      <c r="AA22" s="22">
        <v>10</v>
      </c>
      <c r="AB22" s="23">
        <f t="shared" ref="AB22:AD25" si="2">AB13+0.25%</f>
        <v>3.8200000000000005E-2</v>
      </c>
      <c r="AC22" s="23">
        <f t="shared" si="2"/>
        <v>3.9800000000000002E-2</v>
      </c>
      <c r="AD22" s="23">
        <f t="shared" si="2"/>
        <v>4.1800000000000004E-2</v>
      </c>
      <c r="AE22" s="4"/>
      <c r="AF22" s="2"/>
      <c r="AG22" s="2"/>
      <c r="AH22" s="48"/>
      <c r="AI22" s="68"/>
      <c r="AJ22" s="68"/>
      <c r="AK22" s="68"/>
      <c r="AL22" s="16"/>
      <c r="AM22" s="68"/>
      <c r="AN22" s="1"/>
    </row>
    <row r="23" spans="1:40" ht="20.100000000000001" customHeight="1" x14ac:dyDescent="0.25">
      <c r="B23" s="75" t="s">
        <v>120</v>
      </c>
      <c r="C23" s="39"/>
      <c r="D23" s="1"/>
      <c r="F23" s="76" t="s">
        <v>75</v>
      </c>
      <c r="G23" s="77"/>
      <c r="H23" s="78"/>
      <c r="I23" s="8"/>
      <c r="J23" s="108"/>
      <c r="K23" s="79"/>
      <c r="L23" s="80"/>
      <c r="M23" s="222"/>
      <c r="N23" s="222"/>
      <c r="O23" s="8"/>
      <c r="P23" s="83"/>
      <c r="Q23" s="2"/>
      <c r="R23" s="225"/>
      <c r="S23" s="33"/>
      <c r="T23" s="225"/>
      <c r="U23" s="166"/>
      <c r="V23" s="225"/>
      <c r="W23" s="88"/>
      <c r="X23" s="225"/>
      <c r="Y23" s="2"/>
      <c r="Z23" s="165"/>
      <c r="AA23" s="22">
        <v>15</v>
      </c>
      <c r="AB23" s="23">
        <f t="shared" si="2"/>
        <v>3.9800000000000002E-2</v>
      </c>
      <c r="AC23" s="23">
        <f t="shared" si="2"/>
        <v>4.1200000000000001E-2</v>
      </c>
      <c r="AD23" s="23">
        <f t="shared" si="2"/>
        <v>4.48E-2</v>
      </c>
      <c r="AE23" s="4"/>
      <c r="AF23" s="48"/>
      <c r="AG23" s="68"/>
      <c r="AH23" s="68"/>
      <c r="AI23" s="16"/>
      <c r="AJ23" s="16"/>
      <c r="AK23" s="68"/>
      <c r="AL23" s="1"/>
    </row>
    <row r="24" spans="1:40" ht="9.9499999999999993" customHeight="1" x14ac:dyDescent="0.25">
      <c r="B24" s="49"/>
      <c r="C24" s="39"/>
      <c r="D24" s="7"/>
      <c r="E24" s="8"/>
      <c r="F24" s="81"/>
      <c r="G24" s="8"/>
      <c r="H24" s="42"/>
      <c r="I24" s="8"/>
      <c r="J24" s="7"/>
      <c r="K24" s="8"/>
      <c r="L24" s="82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14"/>
      <c r="AA24" s="22">
        <v>20</v>
      </c>
      <c r="AB24" s="23">
        <f t="shared" si="2"/>
        <v>4.1700000000000001E-2</v>
      </c>
      <c r="AC24" s="23">
        <f t="shared" si="2"/>
        <v>4.3000000000000003E-2</v>
      </c>
      <c r="AD24" s="23">
        <f t="shared" si="2"/>
        <v>4.7300000000000002E-2</v>
      </c>
      <c r="AE24" s="145"/>
      <c r="AF24" s="1"/>
      <c r="AG24" s="1"/>
      <c r="AH24" s="1"/>
      <c r="AI24" s="1"/>
      <c r="AJ24" s="1"/>
      <c r="AK24" s="1"/>
      <c r="AL24" s="1"/>
    </row>
    <row r="25" spans="1:40" ht="20.100000000000001" customHeight="1" x14ac:dyDescent="0.25">
      <c r="B25" s="19" t="s">
        <v>69</v>
      </c>
      <c r="C25" s="84"/>
      <c r="D25" s="85"/>
      <c r="F25" s="18"/>
      <c r="G25" s="8"/>
      <c r="H25" s="18"/>
      <c r="I25" s="86"/>
      <c r="J25" s="8"/>
      <c r="K25" s="8"/>
      <c r="L25" s="235"/>
      <c r="M25" s="7"/>
      <c r="N25" s="87"/>
      <c r="O25" s="8"/>
      <c r="P25" s="226"/>
      <c r="Q25" s="2"/>
      <c r="R25" s="21"/>
      <c r="S25" s="94"/>
      <c r="T25" s="21"/>
      <c r="U25" s="166"/>
      <c r="V25" s="21"/>
      <c r="W25" s="94"/>
      <c r="X25" s="21"/>
      <c r="Y25" s="166"/>
      <c r="Z25" s="23"/>
      <c r="AA25" s="22">
        <v>25</v>
      </c>
      <c r="AB25" s="23">
        <f t="shared" si="2"/>
        <v>4.3000000000000003E-2</v>
      </c>
      <c r="AC25" s="23">
        <f t="shared" si="2"/>
        <v>4.4200000000000003E-2</v>
      </c>
      <c r="AD25" s="23">
        <f t="shared" si="2"/>
        <v>4.9200000000000001E-2</v>
      </c>
      <c r="AE25" s="145"/>
      <c r="AF25" s="1"/>
      <c r="AG25" s="1"/>
      <c r="AH25" s="1"/>
      <c r="AI25" s="1"/>
      <c r="AJ25" s="1"/>
      <c r="AK25" s="1"/>
      <c r="AL25" s="1"/>
    </row>
    <row r="26" spans="1:40" ht="20.100000000000001" customHeight="1" x14ac:dyDescent="0.25">
      <c r="B26" s="89" t="s">
        <v>70</v>
      </c>
      <c r="C26" s="90"/>
      <c r="D26" s="91"/>
      <c r="F26" s="26"/>
      <c r="G26" s="86"/>
      <c r="H26" s="26"/>
      <c r="I26" s="7"/>
      <c r="J26" s="8"/>
      <c r="K26" s="8"/>
      <c r="L26" s="82"/>
      <c r="M26" s="7"/>
      <c r="N26" s="87"/>
      <c r="O26" s="8"/>
      <c r="P26" s="226"/>
      <c r="Q26" s="2"/>
      <c r="R26" s="33"/>
      <c r="S26" s="94"/>
      <c r="T26" s="227"/>
      <c r="U26" s="166"/>
      <c r="V26" s="227"/>
      <c r="W26" s="94"/>
      <c r="X26" s="33"/>
      <c r="Y26" s="166"/>
      <c r="Z26" s="105"/>
      <c r="AA26" s="22">
        <v>30</v>
      </c>
      <c r="AB26" s="165"/>
      <c r="AC26" s="165"/>
      <c r="AD26" s="23">
        <f>AD17+0.25%</f>
        <v>5.2200000000000003E-2</v>
      </c>
      <c r="AE26" s="145"/>
      <c r="AF26" s="1"/>
      <c r="AG26" s="1"/>
      <c r="AH26" s="1"/>
      <c r="AI26" s="1"/>
      <c r="AJ26" s="1"/>
      <c r="AK26" s="1"/>
      <c r="AL26" s="1"/>
    </row>
    <row r="27" spans="1:40" ht="20.100000000000001" customHeight="1" x14ac:dyDescent="0.25">
      <c r="B27" s="89" t="s">
        <v>73</v>
      </c>
      <c r="C27" s="90"/>
      <c r="D27" s="91"/>
      <c r="F27" s="26"/>
      <c r="G27" s="7"/>
      <c r="H27" s="26"/>
      <c r="I27" s="7"/>
      <c r="J27" s="8"/>
      <c r="K27" s="8"/>
      <c r="L27" s="82"/>
      <c r="M27" s="92"/>
      <c r="N27" s="236" t="s">
        <v>109</v>
      </c>
      <c r="O27" s="7"/>
      <c r="P27" s="1"/>
      <c r="Q27" s="8"/>
      <c r="R27" s="327" t="s">
        <v>125</v>
      </c>
      <c r="S27" s="328"/>
      <c r="T27" s="329"/>
      <c r="U27" s="33"/>
      <c r="V27" s="98"/>
      <c r="W27" s="98"/>
      <c r="X27" s="98"/>
      <c r="Y27" s="33"/>
      <c r="Z27" s="98"/>
      <c r="AA27" s="145"/>
      <c r="AB27" s="145"/>
      <c r="AC27" s="145"/>
      <c r="AD27" s="145"/>
      <c r="AE27" s="145"/>
      <c r="AF27" s="1"/>
      <c r="AG27" s="1"/>
      <c r="AH27" s="1"/>
      <c r="AI27" s="1"/>
      <c r="AJ27" s="1"/>
      <c r="AK27" s="1"/>
      <c r="AL27" s="1"/>
    </row>
    <row r="28" spans="1:40" ht="20.100000000000001" customHeight="1" x14ac:dyDescent="0.25">
      <c r="B28" s="95" t="s">
        <v>52</v>
      </c>
      <c r="C28" s="90"/>
      <c r="D28" s="91"/>
      <c r="F28" s="26"/>
      <c r="G28" s="92"/>
      <c r="H28" s="26"/>
      <c r="I28" s="92"/>
      <c r="J28" s="8"/>
      <c r="K28" s="8"/>
      <c r="L28" s="82"/>
      <c r="M28" s="92"/>
      <c r="N28" s="2" t="s">
        <v>117</v>
      </c>
      <c r="O28" s="7"/>
      <c r="P28" s="1"/>
      <c r="Q28" s="2"/>
      <c r="R28" s="37"/>
      <c r="S28" s="37"/>
      <c r="T28" s="289">
        <v>20</v>
      </c>
      <c r="U28" s="33"/>
      <c r="V28" s="37"/>
      <c r="W28" s="37"/>
      <c r="X28" s="37"/>
      <c r="Y28" s="33"/>
      <c r="Z28" s="37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40" ht="20.100000000000001" customHeight="1" x14ac:dyDescent="0.25">
      <c r="B29" s="95" t="s">
        <v>53</v>
      </c>
      <c r="C29" s="90"/>
      <c r="D29" s="91"/>
      <c r="F29" s="26"/>
      <c r="G29" s="92"/>
      <c r="H29" s="26"/>
      <c r="I29" s="92"/>
      <c r="J29" s="8"/>
      <c r="K29" s="92"/>
      <c r="L29" s="97"/>
      <c r="M29" s="92"/>
      <c r="P29" s="1"/>
      <c r="R29" s="1"/>
      <c r="T29" s="1"/>
      <c r="U29" s="33"/>
      <c r="V29" s="33"/>
      <c r="W29" s="37"/>
      <c r="X29" s="33"/>
      <c r="Y29" s="33"/>
      <c r="Z29" s="33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40" ht="20.100000000000001" customHeight="1" x14ac:dyDescent="0.25">
      <c r="B30" s="95" t="s">
        <v>51</v>
      </c>
      <c r="C30" s="90"/>
      <c r="D30" s="91"/>
      <c r="F30" s="26"/>
      <c r="G30" s="92"/>
      <c r="H30" s="26"/>
      <c r="I30" s="92"/>
      <c r="J30" s="8"/>
      <c r="K30" s="8"/>
      <c r="L30" s="97"/>
      <c r="M30" s="92"/>
      <c r="N30" s="87"/>
      <c r="O30" s="92"/>
      <c r="P30" s="1"/>
      <c r="R30" s="1"/>
      <c r="T30" s="1"/>
      <c r="U30" s="33"/>
      <c r="V30" s="212"/>
      <c r="W30" s="37"/>
      <c r="X30" s="212"/>
      <c r="Y30" s="33"/>
      <c r="Z30" s="212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40" ht="20.100000000000001" customHeight="1" x14ac:dyDescent="0.25">
      <c r="A31" s="2"/>
      <c r="B31" s="89" t="s">
        <v>25</v>
      </c>
      <c r="C31" s="90"/>
      <c r="D31" s="91"/>
      <c r="F31" s="26"/>
      <c r="G31" s="92"/>
      <c r="H31" s="26"/>
      <c r="I31" s="92"/>
      <c r="J31" s="8"/>
      <c r="K31" s="92"/>
      <c r="L31" s="82"/>
      <c r="M31" s="87"/>
      <c r="N31" s="196"/>
      <c r="O31" s="92"/>
      <c r="P31" s="100"/>
      <c r="Q31" s="2"/>
      <c r="R31" s="37"/>
      <c r="S31" s="37"/>
      <c r="T31" s="37"/>
      <c r="U31" s="166"/>
      <c r="V31" s="37"/>
      <c r="W31" s="37"/>
      <c r="X31" s="37"/>
      <c r="Y31" s="166"/>
      <c r="Z31" s="37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40" ht="20.100000000000001" customHeight="1" x14ac:dyDescent="0.25">
      <c r="B32" s="89" t="s">
        <v>39</v>
      </c>
      <c r="C32" s="90"/>
      <c r="D32" s="91"/>
      <c r="F32" s="26"/>
      <c r="G32" s="92"/>
      <c r="H32" s="26"/>
      <c r="I32" s="92"/>
      <c r="J32" s="8"/>
      <c r="K32" s="87"/>
      <c r="L32" s="82"/>
      <c r="M32" s="87"/>
      <c r="N32" s="87"/>
      <c r="O32" s="92"/>
      <c r="Q32" s="2"/>
      <c r="R32" s="224"/>
      <c r="S32" s="230"/>
      <c r="T32" s="230"/>
      <c r="U32" s="230"/>
      <c r="V32" s="222"/>
      <c r="W32" s="222"/>
      <c r="X32" s="222"/>
      <c r="Y32" s="222"/>
      <c r="Z32" s="222"/>
      <c r="AA32" s="222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2:40" ht="20.100000000000001" customHeight="1" x14ac:dyDescent="0.25">
      <c r="B33" s="89" t="s">
        <v>38</v>
      </c>
      <c r="C33" s="90"/>
      <c r="D33" s="91"/>
      <c r="F33" s="99"/>
      <c r="G33" s="92"/>
      <c r="H33" s="99"/>
      <c r="I33" s="92"/>
      <c r="J33" s="8"/>
      <c r="K33" s="87"/>
      <c r="L33" s="82"/>
      <c r="M33" s="92"/>
      <c r="N33" s="87"/>
      <c r="O33" s="92"/>
      <c r="P33" s="73"/>
      <c r="Q33" s="2"/>
      <c r="R33" s="33"/>
      <c r="S33" s="37"/>
      <c r="T33" s="33"/>
      <c r="U33" s="102"/>
      <c r="V33" s="33"/>
      <c r="W33" s="37"/>
      <c r="X33" s="33"/>
      <c r="Y33" s="166"/>
      <c r="Z33" s="33"/>
      <c r="AA33" s="33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40" ht="20.100000000000001" customHeight="1" x14ac:dyDescent="0.25">
      <c r="B34" s="95" t="s">
        <v>50</v>
      </c>
      <c r="C34" s="90"/>
      <c r="D34" s="91"/>
      <c r="F34" s="26"/>
      <c r="G34" s="92"/>
      <c r="H34" s="26"/>
      <c r="I34" s="92"/>
      <c r="J34" s="8"/>
      <c r="K34" s="8"/>
      <c r="L34" s="82"/>
      <c r="M34" s="92"/>
      <c r="N34" s="87"/>
      <c r="O34" s="92"/>
      <c r="P34" s="228"/>
      <c r="Q34" s="2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2:40" ht="20.100000000000001" customHeight="1" x14ac:dyDescent="0.25">
      <c r="B35" s="95" t="s">
        <v>49</v>
      </c>
      <c r="C35" s="90"/>
      <c r="D35" s="91"/>
      <c r="F35" s="26"/>
      <c r="G35" s="92"/>
      <c r="H35" s="26"/>
      <c r="I35" s="92"/>
      <c r="J35" s="8"/>
      <c r="K35" s="8"/>
      <c r="L35" s="82"/>
      <c r="M35" s="92"/>
      <c r="N35" s="87"/>
      <c r="O35" s="92"/>
      <c r="P35" s="228"/>
      <c r="Q35" s="2"/>
      <c r="R35" s="37"/>
      <c r="S35" s="33"/>
      <c r="T35" s="33"/>
      <c r="U35" s="33"/>
      <c r="V35" s="33"/>
      <c r="W35" s="33"/>
      <c r="X35" s="33"/>
      <c r="Y35" s="33"/>
      <c r="Z35" s="33"/>
      <c r="AA35" s="33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2:40" ht="20.100000000000001" customHeight="1" x14ac:dyDescent="0.25">
      <c r="B36" s="95" t="s">
        <v>68</v>
      </c>
      <c r="C36" s="90"/>
      <c r="D36" s="91"/>
      <c r="F36" s="26"/>
      <c r="G36" s="92"/>
      <c r="H36" s="26"/>
      <c r="I36" s="92"/>
      <c r="J36" s="8"/>
      <c r="K36" s="8"/>
      <c r="L36" s="82"/>
      <c r="M36" s="92"/>
      <c r="N36" s="87"/>
      <c r="O36" s="92"/>
      <c r="P36" s="228"/>
      <c r="Q36" s="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2:40" ht="20.100000000000001" customHeight="1" x14ac:dyDescent="0.25">
      <c r="B37" s="95" t="s">
        <v>48</v>
      </c>
      <c r="C37" s="90"/>
      <c r="D37" s="91"/>
      <c r="F37" s="26"/>
      <c r="G37" s="92"/>
      <c r="H37" s="26"/>
      <c r="I37" s="92"/>
      <c r="J37" s="8"/>
      <c r="K37" s="8"/>
      <c r="L37" s="82"/>
      <c r="M37" s="92"/>
      <c r="N37" s="87"/>
      <c r="O37" s="92"/>
      <c r="P37" s="229"/>
      <c r="Q37" s="2"/>
      <c r="R37" s="213"/>
      <c r="S37" s="33"/>
      <c r="T37" s="213"/>
      <c r="U37" s="33"/>
      <c r="V37" s="213"/>
      <c r="W37" s="33"/>
      <c r="X37" s="213"/>
      <c r="Y37" s="33"/>
      <c r="Z37" s="213"/>
      <c r="AA37" s="213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2:40" ht="20.100000000000001" customHeight="1" x14ac:dyDescent="0.25">
      <c r="B38" s="95" t="s">
        <v>47</v>
      </c>
      <c r="C38" s="90"/>
      <c r="D38" s="91"/>
      <c r="F38" s="26"/>
      <c r="G38" s="92"/>
      <c r="H38" s="26"/>
      <c r="I38" s="92"/>
      <c r="J38" s="8"/>
      <c r="K38" s="8"/>
      <c r="L38" s="82"/>
      <c r="M38" s="92"/>
      <c r="N38" s="87"/>
      <c r="O38" s="92"/>
      <c r="P38" s="104"/>
      <c r="Q38" s="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2:40" ht="20.100000000000001" customHeight="1" x14ac:dyDescent="0.25">
      <c r="B39" s="95" t="s">
        <v>71</v>
      </c>
      <c r="C39" s="90"/>
      <c r="D39" s="91"/>
      <c r="F39" s="26"/>
      <c r="G39" s="92"/>
      <c r="H39" s="26"/>
      <c r="I39" s="92"/>
      <c r="J39" s="8"/>
      <c r="K39" s="8"/>
      <c r="L39" s="82"/>
      <c r="M39" s="92"/>
      <c r="N39" s="87"/>
      <c r="O39" s="92"/>
      <c r="P39" s="73"/>
      <c r="Q39" s="2"/>
      <c r="R39" s="37"/>
      <c r="S39" s="33"/>
      <c r="T39" s="37"/>
      <c r="U39" s="33"/>
      <c r="V39" s="37"/>
      <c r="W39" s="33"/>
      <c r="X39" s="37"/>
      <c r="Y39" s="33"/>
      <c r="Z39" s="37"/>
      <c r="AA39" s="37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2:40" ht="20.100000000000001" customHeight="1" x14ac:dyDescent="0.25">
      <c r="B40" s="176" t="s">
        <v>26</v>
      </c>
      <c r="C40" s="177"/>
      <c r="D40" s="178"/>
      <c r="F40" s="65"/>
      <c r="G40" s="92"/>
      <c r="H40" s="65"/>
      <c r="I40" s="92"/>
      <c r="J40" s="8"/>
      <c r="K40" s="8"/>
      <c r="L40" s="82"/>
      <c r="M40" s="92"/>
      <c r="N40" s="103"/>
      <c r="O40" s="92"/>
      <c r="P40" s="73"/>
      <c r="Q40" s="2"/>
      <c r="R40" s="37"/>
      <c r="S40" s="33"/>
      <c r="T40" s="33"/>
      <c r="U40" s="33"/>
      <c r="V40" s="33"/>
      <c r="W40" s="33"/>
      <c r="X40" s="33"/>
      <c r="Y40" s="33"/>
      <c r="Z40" s="33"/>
      <c r="AA40" s="33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2:40" ht="20.100000000000001" customHeight="1" x14ac:dyDescent="0.25">
      <c r="B41" s="192" t="s">
        <v>72</v>
      </c>
      <c r="C41" s="179"/>
      <c r="D41" s="180"/>
      <c r="F41" s="34">
        <f>SUM(F25:F34)-F37-F38-F39-F40</f>
        <v>0</v>
      </c>
      <c r="G41" s="92"/>
      <c r="H41" s="34">
        <f>SUM(H25:H34)-H37-H38-H39-H40</f>
        <v>0</v>
      </c>
      <c r="I41" s="92"/>
      <c r="J41" s="213"/>
      <c r="K41" s="105"/>
      <c r="L41" s="82"/>
      <c r="M41" s="92"/>
      <c r="N41" s="87"/>
      <c r="O41" s="92"/>
      <c r="P41" s="4"/>
      <c r="Q41" s="2"/>
      <c r="R41" s="37"/>
      <c r="S41" s="33"/>
      <c r="T41" s="33"/>
      <c r="U41" s="33"/>
      <c r="V41" s="33"/>
      <c r="W41" s="33"/>
      <c r="X41" s="33"/>
      <c r="Y41" s="33"/>
      <c r="Z41" s="33"/>
      <c r="AA41" s="33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2:40" ht="20.100000000000001" customHeight="1" x14ac:dyDescent="0.25">
      <c r="B42" s="4"/>
      <c r="D42" s="103"/>
      <c r="E42" s="92"/>
      <c r="F42" s="103"/>
      <c r="G42" s="92"/>
      <c r="H42" s="103"/>
      <c r="I42" s="92"/>
      <c r="J42" s="103"/>
      <c r="K42" s="92"/>
      <c r="L42" s="107"/>
      <c r="M42" s="92"/>
      <c r="N42" s="87"/>
      <c r="O42" s="92"/>
      <c r="P42" s="229"/>
      <c r="Q42" s="2"/>
      <c r="R42" s="212"/>
      <c r="S42" s="37"/>
      <c r="T42" s="212"/>
      <c r="U42" s="37"/>
      <c r="V42" s="212"/>
      <c r="W42" s="37"/>
      <c r="X42" s="212"/>
      <c r="Y42" s="33"/>
      <c r="Z42" s="212"/>
      <c r="AA42" s="212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2:40" ht="20.100000000000001" customHeight="1" x14ac:dyDescent="0.25">
      <c r="B43" s="238" t="s">
        <v>113</v>
      </c>
      <c r="C43" s="84"/>
      <c r="D43" s="239"/>
      <c r="E43" s="92"/>
      <c r="F43" s="103"/>
      <c r="G43" s="92"/>
      <c r="H43" s="18"/>
      <c r="I43" s="92"/>
      <c r="J43" s="108"/>
      <c r="K43" s="92"/>
      <c r="L43" s="107"/>
      <c r="M43" s="92"/>
      <c r="N43" s="87"/>
      <c r="O43" s="92"/>
      <c r="P43" s="2"/>
      <c r="Q43" s="16"/>
      <c r="R43" s="2"/>
      <c r="S43" s="2"/>
      <c r="T43" s="33"/>
      <c r="U43" s="33"/>
      <c r="V43" s="33"/>
      <c r="W43" s="33"/>
      <c r="X43" s="33"/>
      <c r="Y43" s="33"/>
      <c r="Z43" s="33"/>
      <c r="AA43" s="33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2:40" ht="20.100000000000001" customHeight="1" x14ac:dyDescent="0.25">
      <c r="B44" s="257" t="s">
        <v>112</v>
      </c>
      <c r="C44" s="90"/>
      <c r="D44" s="258"/>
      <c r="E44" s="92"/>
      <c r="F44" s="103"/>
      <c r="G44" s="92"/>
      <c r="H44" s="261"/>
      <c r="I44" s="92"/>
      <c r="J44" s="108"/>
      <c r="K44" s="92"/>
      <c r="L44" s="80"/>
      <c r="M44" s="1"/>
      <c r="N44" s="1"/>
      <c r="O44" s="92"/>
      <c r="P44" s="53"/>
      <c r="Q44" s="2"/>
      <c r="R44" s="98"/>
      <c r="S44" s="98"/>
      <c r="T44" s="98"/>
      <c r="U44" s="98"/>
      <c r="V44" s="98"/>
      <c r="W44" s="98"/>
      <c r="X44" s="98"/>
      <c r="Y44" s="33"/>
      <c r="Z44" s="98"/>
      <c r="AA44" s="98"/>
      <c r="AB44" s="33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2:40" ht="20.100000000000001" customHeight="1" x14ac:dyDescent="0.25">
      <c r="B45" s="259" t="s">
        <v>121</v>
      </c>
      <c r="C45" s="260"/>
      <c r="D45" s="244"/>
      <c r="E45" s="2"/>
      <c r="F45" s="2"/>
      <c r="G45" s="2"/>
      <c r="H45" s="65">
        <f>SUM(H37:H40)+SUM(F37:F40)</f>
        <v>0</v>
      </c>
      <c r="I45" s="2"/>
      <c r="J45" s="87"/>
      <c r="L45" s="1"/>
      <c r="M45" s="1"/>
      <c r="N45" s="1"/>
      <c r="O45" s="92"/>
      <c r="P45" s="229"/>
      <c r="Q45" s="2"/>
      <c r="R45" s="212"/>
      <c r="S45" s="37"/>
      <c r="T45" s="212"/>
      <c r="U45" s="37"/>
      <c r="V45" s="212"/>
      <c r="W45" s="37"/>
      <c r="X45" s="212"/>
      <c r="Y45" s="33"/>
      <c r="Z45" s="212"/>
      <c r="AA45" s="212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2:40" ht="20.100000000000001" customHeight="1" x14ac:dyDescent="0.25">
      <c r="B46" s="2"/>
      <c r="C46" s="2"/>
      <c r="D46" s="2"/>
      <c r="E46" s="2"/>
      <c r="F46" s="2"/>
      <c r="G46" s="2"/>
      <c r="H46" s="2"/>
      <c r="I46" s="2"/>
      <c r="J46" s="237"/>
      <c r="L46" s="1"/>
      <c r="M46" s="1"/>
      <c r="N46" s="1"/>
      <c r="O46" s="92"/>
      <c r="P46" s="83"/>
      <c r="Q46" s="2"/>
      <c r="R46" s="37"/>
      <c r="S46" s="33"/>
      <c r="T46" s="33"/>
      <c r="U46" s="33"/>
      <c r="V46" s="33"/>
      <c r="W46" s="33"/>
      <c r="X46" s="33"/>
      <c r="Y46" s="33"/>
      <c r="Z46" s="33"/>
      <c r="AA46" s="33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2:40" ht="20.100000000000001" customHeight="1" x14ac:dyDescent="0.25">
      <c r="E47" s="2"/>
      <c r="F47" s="1"/>
      <c r="H47" s="1"/>
      <c r="I47" s="1"/>
      <c r="L47" s="1"/>
      <c r="M47" s="1"/>
      <c r="N47" s="1"/>
      <c r="O47" s="92"/>
      <c r="P47" s="83"/>
      <c r="Q47" s="2"/>
      <c r="R47" s="111"/>
      <c r="S47" s="37"/>
      <c r="T47" s="111"/>
      <c r="U47" s="37"/>
      <c r="V47" s="111"/>
      <c r="W47" s="37"/>
      <c r="X47" s="111"/>
      <c r="Y47" s="33"/>
      <c r="Z47" s="111"/>
      <c r="AA47" s="11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2:40" ht="20.100000000000001" customHeight="1" x14ac:dyDescent="0.25">
      <c r="B48" s="2"/>
      <c r="D48" s="87"/>
      <c r="E48" s="92"/>
      <c r="F48" s="87"/>
      <c r="G48" s="92"/>
      <c r="H48" s="87"/>
      <c r="I48" s="92"/>
      <c r="J48" s="87"/>
      <c r="K48" s="92"/>
      <c r="L48" s="87"/>
      <c r="M48" s="166"/>
      <c r="N48" s="166"/>
      <c r="O48" s="92"/>
      <c r="P48" s="83"/>
      <c r="Q48" s="112"/>
      <c r="R48" s="111"/>
      <c r="S48" s="113"/>
      <c r="T48" s="111"/>
      <c r="U48" s="114"/>
      <c r="V48" s="111"/>
      <c r="W48" s="114"/>
      <c r="X48" s="111"/>
      <c r="Y48" s="114"/>
      <c r="Z48" s="111"/>
      <c r="AA48" s="11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2:68" s="4" customFormat="1" ht="20.100000000000001" customHeight="1" x14ac:dyDescent="0.25">
      <c r="B49" s="79"/>
      <c r="C49" s="116"/>
      <c r="D49" s="68"/>
      <c r="E49" s="113"/>
      <c r="F49" s="121"/>
      <c r="G49" s="121"/>
      <c r="H49" s="121"/>
      <c r="I49" s="121"/>
      <c r="J49" s="121"/>
      <c r="K49" s="121"/>
      <c r="L49" s="105"/>
      <c r="M49" s="121"/>
      <c r="N49" s="105"/>
      <c r="O49" s="105"/>
      <c r="P49" s="69"/>
      <c r="Q49" s="112"/>
      <c r="T49" s="223"/>
      <c r="U49" s="223"/>
      <c r="V49" s="169"/>
      <c r="W49" s="168"/>
      <c r="X49" s="169"/>
      <c r="Y49" s="169"/>
      <c r="Z49" s="214"/>
      <c r="AA49" s="214"/>
      <c r="AB49" s="2"/>
      <c r="AC49" s="14"/>
      <c r="AF49" s="14"/>
      <c r="AG49" s="14"/>
      <c r="AH49" s="14"/>
      <c r="AI49" s="14"/>
      <c r="AJ49" s="14"/>
      <c r="AK49" s="14"/>
      <c r="AL49" s="14"/>
    </row>
    <row r="50" spans="2:68" s="4" customFormat="1" ht="20.100000000000001" customHeight="1" x14ac:dyDescent="0.25">
      <c r="B50" s="79"/>
      <c r="C50" s="116"/>
      <c r="D50" s="68"/>
      <c r="E50" s="120"/>
      <c r="F50" s="121"/>
      <c r="G50" s="121"/>
      <c r="H50" s="121"/>
      <c r="I50" s="121"/>
      <c r="J50" s="121"/>
      <c r="K50" s="121"/>
      <c r="L50" s="121"/>
      <c r="M50" s="121"/>
      <c r="N50" s="121"/>
      <c r="O50" s="139"/>
      <c r="P50" s="122"/>
      <c r="Q50" s="92"/>
      <c r="R50" s="115"/>
      <c r="S50" s="115"/>
      <c r="T50" s="115"/>
      <c r="U50" s="115"/>
      <c r="V50" s="115"/>
      <c r="W50" s="168"/>
      <c r="X50" s="115"/>
      <c r="Y50" s="115"/>
      <c r="Z50" s="115"/>
      <c r="AA50" s="115"/>
      <c r="AB50" s="2"/>
      <c r="AC50" s="14"/>
      <c r="AF50" s="14"/>
      <c r="AG50" s="14"/>
      <c r="AH50" s="14"/>
      <c r="AI50" s="14"/>
      <c r="AJ50" s="14"/>
      <c r="AK50" s="14"/>
      <c r="AL50" s="14"/>
    </row>
    <row r="51" spans="2:68" s="4" customFormat="1" ht="20.100000000000001" customHeight="1" x14ac:dyDescent="0.25">
      <c r="B51" s="79"/>
      <c r="C51" s="116"/>
      <c r="D51" s="68"/>
      <c r="E51" s="120"/>
      <c r="F51" s="121"/>
      <c r="G51" s="121"/>
      <c r="H51" s="121"/>
      <c r="I51" s="121"/>
      <c r="J51" s="121"/>
      <c r="K51" s="121"/>
      <c r="L51" s="121"/>
      <c r="M51" s="121"/>
      <c r="N51" s="121"/>
      <c r="O51" s="139"/>
      <c r="P51" s="122"/>
      <c r="Q51" s="92"/>
      <c r="R51" s="115"/>
      <c r="S51" s="115"/>
      <c r="T51" s="115"/>
      <c r="U51" s="115"/>
      <c r="V51" s="115"/>
      <c r="W51" s="168"/>
      <c r="X51" s="115"/>
      <c r="Y51" s="115"/>
      <c r="Z51" s="115"/>
      <c r="AA51" s="115"/>
      <c r="AB51" s="2"/>
      <c r="AC51" s="14"/>
      <c r="AF51" s="14"/>
      <c r="AG51" s="14"/>
      <c r="AH51" s="14"/>
      <c r="AI51" s="14"/>
      <c r="AJ51" s="14"/>
      <c r="AK51" s="14"/>
      <c r="AL51" s="14"/>
    </row>
    <row r="52" spans="2:68" s="4" customFormat="1" ht="20.100000000000001" customHeight="1" x14ac:dyDescent="0.25">
      <c r="B52" s="79"/>
      <c r="C52" s="116"/>
      <c r="D52" s="68"/>
      <c r="E52" s="120"/>
      <c r="F52" s="121"/>
      <c r="G52" s="121"/>
      <c r="H52" s="121"/>
      <c r="I52" s="105"/>
      <c r="J52" s="121"/>
      <c r="K52" s="121"/>
      <c r="L52" s="121"/>
      <c r="M52" s="121"/>
      <c r="N52" s="121"/>
      <c r="O52" s="139"/>
      <c r="P52" s="122"/>
      <c r="Q52" s="92"/>
      <c r="R52" s="115"/>
      <c r="S52" s="115"/>
      <c r="T52" s="115"/>
      <c r="U52" s="115"/>
      <c r="V52" s="115"/>
      <c r="W52" s="168"/>
      <c r="X52" s="115"/>
      <c r="Y52" s="115"/>
      <c r="Z52" s="115"/>
      <c r="AA52" s="115"/>
      <c r="AB52" s="2"/>
      <c r="AC52" s="14"/>
      <c r="AF52" s="14"/>
      <c r="AG52" s="14"/>
      <c r="AH52" s="14"/>
      <c r="AI52" s="14"/>
      <c r="AJ52" s="14"/>
      <c r="AK52" s="14"/>
      <c r="AL52" s="14"/>
    </row>
    <row r="53" spans="2:68" s="4" customFormat="1" ht="20.100000000000001" customHeight="1" x14ac:dyDescent="0.25">
      <c r="B53" s="79"/>
      <c r="C53" s="116"/>
      <c r="D53" s="68"/>
      <c r="E53" s="120"/>
      <c r="F53" s="121"/>
      <c r="G53" s="105"/>
      <c r="H53" s="105"/>
      <c r="I53" s="121"/>
      <c r="J53" s="121"/>
      <c r="K53" s="121"/>
      <c r="L53" s="121"/>
      <c r="M53" s="121"/>
      <c r="N53" s="121"/>
      <c r="O53" s="139"/>
      <c r="P53" s="122"/>
      <c r="Q53" s="33"/>
      <c r="R53" s="37"/>
      <c r="S53" s="37"/>
      <c r="T53" s="37"/>
      <c r="U53" s="37"/>
      <c r="V53" s="37"/>
      <c r="W53" s="168"/>
      <c r="X53" s="37"/>
      <c r="Y53" s="37"/>
      <c r="Z53" s="115"/>
      <c r="AA53" s="115"/>
      <c r="AB53" s="2"/>
      <c r="AC53" s="14"/>
      <c r="AF53" s="14"/>
      <c r="AG53" s="14"/>
      <c r="AH53" s="14"/>
      <c r="AI53" s="14"/>
      <c r="AJ53" s="14"/>
      <c r="AK53" s="14"/>
      <c r="AL53" s="14"/>
    </row>
    <row r="54" spans="2:68" s="4" customFormat="1" ht="20.100000000000001" customHeight="1" x14ac:dyDescent="0.25">
      <c r="B54" s="36"/>
      <c r="C54" s="36"/>
      <c r="D54" s="105"/>
      <c r="E54" s="120"/>
      <c r="F54" s="105"/>
      <c r="G54" s="139"/>
      <c r="H54" s="139"/>
      <c r="I54" s="121"/>
      <c r="J54" s="105"/>
      <c r="K54" s="105"/>
      <c r="L54" s="121"/>
      <c r="M54" s="105"/>
      <c r="N54" s="121"/>
      <c r="O54" s="33"/>
      <c r="P54" s="122"/>
      <c r="Q54" s="33"/>
      <c r="R54" s="37"/>
      <c r="S54" s="37"/>
      <c r="T54" s="37"/>
      <c r="U54" s="37"/>
      <c r="V54" s="37"/>
      <c r="W54" s="115"/>
      <c r="X54" s="37"/>
      <c r="Y54" s="37"/>
      <c r="Z54" s="37"/>
      <c r="AA54" s="37"/>
      <c r="AB54" s="2"/>
      <c r="AC54" s="14"/>
      <c r="AF54" s="14"/>
      <c r="AG54" s="14"/>
      <c r="AH54" s="14"/>
      <c r="AI54" s="14"/>
      <c r="AJ54" s="14"/>
      <c r="AK54" s="14"/>
      <c r="AL54" s="14"/>
    </row>
    <row r="55" spans="2:68" s="4" customFormat="1" ht="20.100000000000001" customHeight="1" x14ac:dyDescent="0.25">
      <c r="B55" s="36"/>
      <c r="C55" s="36"/>
      <c r="D55" s="105"/>
      <c r="F55" s="105"/>
      <c r="G55" s="139"/>
      <c r="H55" s="139"/>
      <c r="I55" s="121"/>
      <c r="J55" s="139"/>
      <c r="K55" s="139"/>
      <c r="L55" s="121"/>
      <c r="M55" s="139"/>
      <c r="N55" s="121"/>
      <c r="P55" s="33"/>
      <c r="Q55" s="33"/>
      <c r="R55" s="33"/>
      <c r="S55" s="166"/>
      <c r="T55" s="143"/>
      <c r="U55" s="33"/>
      <c r="V55" s="33"/>
      <c r="W55" s="115"/>
      <c r="X55" s="33"/>
      <c r="Y55" s="33"/>
      <c r="Z55" s="37"/>
      <c r="AA55" s="37"/>
      <c r="AB55" s="2"/>
      <c r="AC55" s="14"/>
      <c r="AD55" s="14"/>
      <c r="AE55" s="14"/>
      <c r="AF55" s="14"/>
      <c r="AG55" s="14"/>
      <c r="AH55" s="14"/>
      <c r="AI55" s="14"/>
      <c r="AJ55" s="14"/>
      <c r="AK55" s="14"/>
      <c r="AL55" s="14"/>
    </row>
    <row r="56" spans="2:68" s="4" customFormat="1" ht="20.100000000000001" customHeight="1" x14ac:dyDescent="0.25">
      <c r="B56" s="116"/>
      <c r="C56" s="116"/>
      <c r="D56" s="33"/>
      <c r="F56" s="33"/>
      <c r="G56" s="113"/>
      <c r="H56" s="113"/>
      <c r="I56" s="121"/>
      <c r="J56" s="139"/>
      <c r="K56" s="139"/>
      <c r="L56" s="105"/>
      <c r="M56" s="113"/>
      <c r="N56" s="105"/>
      <c r="P56" s="33"/>
      <c r="Q56" s="33"/>
      <c r="R56" s="33"/>
      <c r="S56" s="166"/>
      <c r="T56" s="143"/>
      <c r="U56" s="33"/>
      <c r="V56" s="33"/>
      <c r="W56" s="115"/>
      <c r="X56" s="33"/>
      <c r="Y56" s="33"/>
      <c r="Z56" s="37"/>
      <c r="AA56" s="37"/>
      <c r="AB56" s="2"/>
      <c r="AC56" s="14"/>
      <c r="AD56" s="14"/>
      <c r="AE56" s="14"/>
      <c r="AF56" s="14"/>
      <c r="AG56" s="14"/>
      <c r="AH56" s="14"/>
      <c r="AI56" s="14"/>
      <c r="AJ56" s="14"/>
      <c r="AK56" s="14"/>
      <c r="AL56" s="14"/>
    </row>
    <row r="57" spans="2:68" s="4" customFormat="1" ht="20.100000000000001" customHeight="1" x14ac:dyDescent="0.25">
      <c r="B57" s="116"/>
      <c r="C57" s="116"/>
      <c r="D57" s="33"/>
      <c r="F57" s="33"/>
      <c r="G57" s="113"/>
      <c r="H57" s="113"/>
      <c r="I57" s="121"/>
      <c r="J57" s="139"/>
      <c r="K57" s="139"/>
      <c r="L57" s="139"/>
      <c r="M57" s="113"/>
      <c r="N57" s="139"/>
      <c r="P57" s="33"/>
      <c r="Q57" s="33"/>
      <c r="R57" s="33"/>
      <c r="S57" s="166"/>
      <c r="T57" s="143"/>
      <c r="U57" s="33"/>
      <c r="V57" s="33"/>
      <c r="W57" s="37"/>
      <c r="X57" s="33"/>
      <c r="Y57" s="33"/>
      <c r="Z57" s="33"/>
      <c r="AA57" s="33"/>
      <c r="AB57" s="2"/>
      <c r="AC57" s="14"/>
      <c r="AD57" s="14"/>
      <c r="AE57" s="14"/>
      <c r="AF57" s="14"/>
      <c r="AG57" s="14"/>
      <c r="AH57" s="14"/>
      <c r="AI57" s="14"/>
      <c r="AJ57" s="14"/>
      <c r="AK57" s="14"/>
      <c r="AL57" s="14"/>
    </row>
    <row r="58" spans="2:68" s="4" customFormat="1" ht="20.100000000000001" customHeight="1" x14ac:dyDescent="0.25">
      <c r="B58" s="116"/>
      <c r="C58" s="116"/>
      <c r="D58" s="33"/>
      <c r="F58" s="33"/>
      <c r="G58" s="113"/>
      <c r="H58" s="113"/>
      <c r="I58" s="121"/>
      <c r="J58" s="113"/>
      <c r="K58" s="113"/>
      <c r="L58" s="113"/>
      <c r="M58" s="113"/>
      <c r="N58" s="113"/>
      <c r="P58" s="33"/>
      <c r="Q58" s="33"/>
      <c r="R58" s="33"/>
      <c r="S58" s="166"/>
      <c r="T58" s="143"/>
      <c r="U58" s="33"/>
      <c r="V58" s="33"/>
      <c r="W58" s="37"/>
      <c r="X58" s="33"/>
      <c r="Y58" s="33"/>
      <c r="Z58" s="33"/>
      <c r="AA58" s="33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</row>
    <row r="59" spans="2:68" s="4" customFormat="1" ht="20.100000000000001" customHeight="1" x14ac:dyDescent="0.25">
      <c r="B59" s="116"/>
      <c r="C59" s="116"/>
      <c r="D59" s="33"/>
      <c r="F59" s="33"/>
      <c r="G59" s="113"/>
      <c r="H59" s="113"/>
      <c r="I59" s="105"/>
      <c r="J59" s="113"/>
      <c r="K59" s="113"/>
      <c r="L59" s="113"/>
      <c r="M59" s="113"/>
      <c r="N59" s="113"/>
      <c r="P59" s="33"/>
      <c r="Q59" s="33"/>
      <c r="R59" s="33"/>
      <c r="S59" s="166"/>
      <c r="T59" s="143"/>
      <c r="U59" s="33"/>
      <c r="V59" s="33"/>
      <c r="W59" s="113"/>
      <c r="X59" s="33"/>
      <c r="Y59" s="33"/>
      <c r="Z59" s="33"/>
      <c r="AA59" s="33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</row>
    <row r="60" spans="2:68" s="4" customFormat="1" ht="20.100000000000001" customHeight="1" x14ac:dyDescent="0.25">
      <c r="B60" s="116"/>
      <c r="C60" s="116"/>
      <c r="D60" s="33"/>
      <c r="F60" s="33"/>
      <c r="G60" s="33"/>
      <c r="H60" s="33"/>
      <c r="I60" s="139"/>
      <c r="J60" s="113"/>
      <c r="K60" s="113"/>
      <c r="L60" s="113"/>
      <c r="M60" s="113"/>
      <c r="N60" s="113"/>
      <c r="P60" s="33"/>
      <c r="Q60" s="33"/>
      <c r="R60" s="33"/>
      <c r="S60" s="166"/>
      <c r="T60" s="143"/>
      <c r="U60" s="33"/>
      <c r="V60" s="33"/>
      <c r="W60" s="113"/>
      <c r="X60" s="33"/>
      <c r="Y60" s="33"/>
      <c r="Z60" s="33"/>
      <c r="AA60" s="33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</row>
    <row r="61" spans="2:68" s="4" customFormat="1" ht="20.100000000000001" customHeight="1" x14ac:dyDescent="0.25">
      <c r="I61" s="139"/>
      <c r="J61" s="33"/>
      <c r="K61" s="33"/>
      <c r="L61" s="113"/>
      <c r="M61" s="33"/>
      <c r="N61" s="113"/>
      <c r="P61" s="33"/>
      <c r="Q61" s="33"/>
      <c r="R61" s="33"/>
      <c r="S61" s="166"/>
      <c r="T61" s="143"/>
      <c r="U61" s="33"/>
      <c r="V61" s="33"/>
      <c r="W61" s="113"/>
      <c r="X61" s="33"/>
      <c r="Y61" s="33"/>
      <c r="Z61" s="33"/>
      <c r="AA61" s="33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2:68" s="145" customFormat="1" ht="20.100000000000001" customHeight="1" x14ac:dyDescent="0.25">
      <c r="B62" s="4"/>
      <c r="C62" s="4"/>
      <c r="D62" s="4"/>
      <c r="E62" s="4"/>
      <c r="F62" s="4"/>
      <c r="G62" s="4"/>
      <c r="H62" s="4"/>
      <c r="I62" s="113"/>
      <c r="J62" s="4"/>
      <c r="K62" s="4"/>
      <c r="L62" s="113"/>
      <c r="M62" s="33"/>
      <c r="N62" s="113"/>
      <c r="O62" s="4"/>
      <c r="P62" s="33"/>
      <c r="Q62" s="33"/>
      <c r="R62" s="33"/>
      <c r="S62" s="166"/>
      <c r="T62" s="143"/>
      <c r="U62" s="33"/>
      <c r="V62" s="33"/>
      <c r="W62" s="113"/>
      <c r="X62" s="33"/>
      <c r="Y62" s="33"/>
      <c r="Z62" s="33"/>
      <c r="AA62" s="33"/>
      <c r="AB62" s="1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46"/>
      <c r="BB62" s="146"/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146"/>
    </row>
    <row r="63" spans="2:68" s="145" customFormat="1" ht="20.100000000000001" customHeight="1" x14ac:dyDescent="0.25">
      <c r="B63" s="4"/>
      <c r="C63" s="4"/>
      <c r="D63" s="4"/>
      <c r="E63" s="4"/>
      <c r="F63" s="4"/>
      <c r="G63" s="4"/>
      <c r="H63" s="4"/>
      <c r="I63" s="113"/>
      <c r="J63" s="4"/>
      <c r="K63" s="4"/>
      <c r="L63" s="33"/>
      <c r="M63" s="33"/>
      <c r="N63" s="33"/>
      <c r="P63" s="33"/>
      <c r="Q63" s="33"/>
      <c r="R63" s="33"/>
      <c r="S63" s="166"/>
      <c r="T63" s="143"/>
      <c r="U63" s="33"/>
      <c r="V63" s="33"/>
      <c r="W63" s="113"/>
      <c r="X63" s="33"/>
      <c r="Y63" s="33"/>
      <c r="Z63" s="33"/>
      <c r="AA63" s="33"/>
      <c r="AB63" s="1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O63" s="146"/>
      <c r="AP63" s="146"/>
      <c r="AQ63" s="146"/>
      <c r="AR63" s="146"/>
      <c r="AS63" s="146"/>
      <c r="AT63" s="146"/>
      <c r="AU63" s="146"/>
      <c r="AV63" s="146"/>
      <c r="AW63" s="146"/>
      <c r="AX63" s="146"/>
      <c r="AY63" s="146"/>
      <c r="AZ63" s="146"/>
      <c r="BA63" s="146"/>
      <c r="BB63" s="146"/>
      <c r="BC63" s="146"/>
      <c r="BD63" s="146"/>
      <c r="BE63" s="146"/>
      <c r="BF63" s="146"/>
      <c r="BG63" s="146"/>
      <c r="BH63" s="146"/>
      <c r="BI63" s="146"/>
      <c r="BJ63" s="146"/>
      <c r="BK63" s="146"/>
      <c r="BL63" s="146"/>
      <c r="BM63" s="146"/>
      <c r="BN63" s="146"/>
      <c r="BO63" s="146"/>
      <c r="BP63" s="146"/>
    </row>
    <row r="64" spans="2:68" s="145" customFormat="1" ht="20.100000000000001" customHeight="1" x14ac:dyDescent="0.25">
      <c r="B64" s="4"/>
      <c r="C64" s="4"/>
      <c r="D64" s="4"/>
      <c r="E64" s="4"/>
      <c r="F64" s="4"/>
      <c r="G64" s="4"/>
      <c r="H64" s="4"/>
      <c r="I64" s="113"/>
      <c r="J64" s="4"/>
      <c r="K64" s="4"/>
      <c r="L64" s="33"/>
      <c r="M64" s="33"/>
      <c r="N64" s="33"/>
      <c r="P64" s="33"/>
      <c r="Q64" s="33"/>
      <c r="R64" s="33"/>
      <c r="S64" s="166"/>
      <c r="T64" s="143"/>
      <c r="U64" s="33"/>
      <c r="V64" s="33"/>
      <c r="W64" s="113"/>
      <c r="X64" s="33"/>
      <c r="Y64" s="33"/>
      <c r="Z64" s="33"/>
      <c r="AA64" s="33"/>
      <c r="AB64" s="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46"/>
      <c r="BB64" s="146"/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6"/>
      <c r="BN64" s="146"/>
      <c r="BO64" s="146"/>
      <c r="BP64" s="146"/>
    </row>
    <row r="65" spans="2:68" s="145" customFormat="1" ht="20.100000000000001" customHeight="1" x14ac:dyDescent="0.25">
      <c r="B65" s="4"/>
      <c r="C65" s="4"/>
      <c r="D65" s="4"/>
      <c r="E65" s="4"/>
      <c r="F65" s="4"/>
      <c r="G65" s="4"/>
      <c r="H65" s="4"/>
      <c r="I65" s="113"/>
      <c r="J65" s="4"/>
      <c r="K65" s="4"/>
      <c r="L65" s="33"/>
      <c r="M65" s="33"/>
      <c r="N65" s="33"/>
      <c r="P65" s="33"/>
      <c r="Q65" s="33"/>
      <c r="R65" s="33"/>
      <c r="S65" s="166"/>
      <c r="T65" s="143"/>
      <c r="U65" s="33"/>
      <c r="V65" s="33"/>
      <c r="W65" s="113"/>
      <c r="X65" s="33"/>
      <c r="Y65" s="33"/>
      <c r="Z65" s="33"/>
      <c r="AA65" s="33"/>
      <c r="AB65" s="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46"/>
      <c r="BB65" s="146"/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146"/>
    </row>
    <row r="66" spans="2:68" s="145" customFormat="1" ht="20.100000000000001" customHeight="1" x14ac:dyDescent="0.25">
      <c r="B66" s="4"/>
      <c r="C66" s="4"/>
      <c r="D66" s="4"/>
      <c r="E66" s="4"/>
      <c r="F66" s="4"/>
      <c r="G66" s="4"/>
      <c r="H66" s="4"/>
      <c r="I66" s="33"/>
      <c r="J66" s="4"/>
      <c r="K66" s="4"/>
      <c r="L66" s="33"/>
      <c r="M66" s="33"/>
      <c r="N66" s="33"/>
      <c r="P66" s="4"/>
      <c r="Q66" s="33"/>
      <c r="R66" s="4"/>
      <c r="S66" s="4"/>
      <c r="T66" s="4"/>
      <c r="U66" s="4"/>
      <c r="V66" s="4"/>
      <c r="W66" s="113"/>
      <c r="X66" s="4"/>
      <c r="Y66" s="4"/>
      <c r="Z66" s="33"/>
      <c r="AA66" s="33"/>
      <c r="AB66" s="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46"/>
      <c r="BB66" s="146"/>
      <c r="BC66" s="146"/>
      <c r="BD66" s="146"/>
      <c r="BE66" s="146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146"/>
    </row>
    <row r="67" spans="2:68" s="1" customFormat="1" ht="20.100000000000001" customHeight="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33"/>
      <c r="M67" s="33"/>
      <c r="N67" s="33"/>
      <c r="O67" s="145"/>
      <c r="P67" s="4"/>
      <c r="Q67" s="166"/>
      <c r="R67" s="4"/>
      <c r="S67" s="4"/>
      <c r="T67" s="4"/>
      <c r="U67" s="4"/>
      <c r="V67" s="4"/>
      <c r="W67" s="113"/>
      <c r="X67" s="4"/>
      <c r="Y67" s="4"/>
      <c r="Z67" s="33"/>
      <c r="AA67" s="33"/>
      <c r="AB67" s="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s="1" customFormat="1" ht="20.100000000000001" customHeight="1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33"/>
      <c r="M68" s="4"/>
      <c r="N68" s="33"/>
      <c r="O68" s="145"/>
      <c r="P68" s="4"/>
      <c r="Q68" s="166"/>
      <c r="R68" s="4"/>
      <c r="S68" s="4"/>
      <c r="T68" s="4"/>
      <c r="U68" s="4"/>
      <c r="V68" s="4"/>
      <c r="W68" s="113"/>
      <c r="X68" s="4"/>
      <c r="Y68" s="4"/>
      <c r="Z68" s="4"/>
      <c r="AA68" s="4"/>
      <c r="AB68" s="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s="1" customFormat="1" ht="20.100000000000001" customHeight="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33"/>
      <c r="M69" s="4"/>
      <c r="N69" s="33"/>
      <c r="O69" s="145"/>
      <c r="P69" s="4"/>
      <c r="Q69" s="166"/>
      <c r="R69" s="4"/>
      <c r="S69" s="4"/>
      <c r="T69" s="4"/>
      <c r="U69" s="4"/>
      <c r="V69" s="4"/>
      <c r="W69" s="113"/>
      <c r="X69" s="4"/>
      <c r="Y69" s="4"/>
      <c r="Z69" s="4"/>
      <c r="AA69" s="4"/>
      <c r="AB69" s="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s="1" customFormat="1" ht="20.100000000000001" customHeight="1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145"/>
      <c r="P70" s="4"/>
      <c r="Q70" s="166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s="1" customFormat="1" ht="20.100000000000001" customHeight="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145"/>
      <c r="P71" s="4"/>
      <c r="Q71" s="166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s="1" customFormat="1" ht="20.100000000000001" customHeight="1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145"/>
      <c r="P72" s="4"/>
      <c r="Q72" s="166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s="1" customFormat="1" ht="20.100000000000001" customHeight="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145"/>
      <c r="P73" s="4"/>
      <c r="Q73" s="166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s="1" customFormat="1" ht="20.100000000000001" customHeight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145"/>
      <c r="P74" s="145"/>
      <c r="Q74" s="101"/>
      <c r="R74" s="145"/>
      <c r="S74" s="145"/>
      <c r="T74" s="145"/>
      <c r="U74" s="145"/>
      <c r="V74" s="145"/>
      <c r="W74" s="4"/>
      <c r="X74" s="145"/>
      <c r="Y74" s="145"/>
      <c r="Z74" s="4"/>
      <c r="AA74" s="4"/>
      <c r="AB74" s="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s="1" customFormat="1" ht="20.100000000000001" customHeight="1" x14ac:dyDescent="0.25">
      <c r="B75" s="145"/>
      <c r="C75" s="145"/>
      <c r="D75" s="145"/>
      <c r="E75" s="145"/>
      <c r="F75" s="145"/>
      <c r="G75" s="145"/>
      <c r="H75" s="145"/>
      <c r="I75" s="4"/>
      <c r="J75" s="4"/>
      <c r="K75" s="4"/>
      <c r="L75" s="4"/>
      <c r="M75" s="4"/>
      <c r="N75" s="4"/>
      <c r="O75" s="145"/>
      <c r="P75" s="145"/>
      <c r="Q75" s="101"/>
      <c r="R75" s="145"/>
      <c r="S75" s="145"/>
      <c r="T75" s="145"/>
      <c r="U75" s="145"/>
      <c r="V75" s="145"/>
      <c r="W75" s="4"/>
      <c r="X75" s="145"/>
      <c r="Y75" s="145"/>
      <c r="Z75" s="4"/>
      <c r="AA75" s="4"/>
      <c r="AB75" s="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s="1" customFormat="1" ht="20.100000000000001" customHeight="1" x14ac:dyDescent="0.25">
      <c r="B76" s="145"/>
      <c r="C76" s="145"/>
      <c r="D76" s="145"/>
      <c r="E76" s="145"/>
      <c r="F76" s="145"/>
      <c r="G76" s="145"/>
      <c r="H76" s="145"/>
      <c r="I76" s="4"/>
      <c r="J76" s="145"/>
      <c r="K76" s="145"/>
      <c r="L76" s="4"/>
      <c r="M76" s="145"/>
      <c r="N76" s="4"/>
      <c r="O76" s="145"/>
      <c r="P76" s="145"/>
      <c r="Q76" s="101"/>
      <c r="R76" s="145"/>
      <c r="S76" s="145"/>
      <c r="T76" s="145"/>
      <c r="U76" s="145"/>
      <c r="V76" s="145"/>
      <c r="W76" s="4"/>
      <c r="X76" s="145"/>
      <c r="Y76" s="145"/>
      <c r="Z76" s="145"/>
      <c r="AA76" s="145"/>
      <c r="AB76" s="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s="1" customFormat="1" ht="20.100000000000001" customHeight="1" x14ac:dyDescent="0.25">
      <c r="B77" s="145"/>
      <c r="C77" s="145"/>
      <c r="D77" s="145"/>
      <c r="E77" s="145"/>
      <c r="F77" s="145"/>
      <c r="G77" s="145"/>
      <c r="H77" s="145"/>
      <c r="I77" s="4"/>
      <c r="J77" s="145"/>
      <c r="K77" s="145"/>
      <c r="L77" s="4"/>
      <c r="M77" s="145"/>
      <c r="N77" s="4"/>
      <c r="O77" s="145"/>
      <c r="P77" s="145"/>
      <c r="Q77" s="101"/>
      <c r="R77" s="145"/>
      <c r="S77" s="145"/>
      <c r="T77" s="145"/>
      <c r="U77" s="145"/>
      <c r="V77" s="145"/>
      <c r="W77" s="4"/>
      <c r="X77" s="145"/>
      <c r="Y77" s="145"/>
      <c r="Z77" s="145"/>
      <c r="AA77" s="145"/>
      <c r="AB77" s="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s="1" customFormat="1" ht="20.100000000000001" customHeight="1" x14ac:dyDescent="0.25">
      <c r="B78" s="145"/>
      <c r="C78" s="145"/>
      <c r="D78" s="145"/>
      <c r="E78" s="145"/>
      <c r="F78" s="145"/>
      <c r="G78" s="145"/>
      <c r="H78" s="145"/>
      <c r="I78" s="4"/>
      <c r="J78" s="145"/>
      <c r="K78" s="145"/>
      <c r="L78" s="145"/>
      <c r="M78" s="145"/>
      <c r="N78" s="145"/>
      <c r="O78" s="145"/>
      <c r="P78" s="145"/>
      <c r="Q78" s="101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s="1" customFormat="1" ht="20.100000000000001" customHeight="1" x14ac:dyDescent="0.25">
      <c r="B79" s="145"/>
      <c r="C79" s="145"/>
      <c r="D79" s="145"/>
      <c r="E79" s="145"/>
      <c r="F79" s="145"/>
      <c r="G79" s="145"/>
      <c r="H79" s="145"/>
      <c r="I79" s="4"/>
      <c r="J79" s="145"/>
      <c r="K79" s="145"/>
      <c r="L79" s="145"/>
      <c r="M79" s="145"/>
      <c r="N79" s="145"/>
      <c r="O79" s="145"/>
      <c r="P79" s="145"/>
      <c r="Q79" s="101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4"/>
      <c r="AD79" s="144"/>
      <c r="AE79" s="144"/>
      <c r="AF79" s="144"/>
      <c r="AG79" s="144"/>
      <c r="AH79" s="144"/>
      <c r="AI79" s="144"/>
      <c r="AJ79" s="144"/>
      <c r="AK79" s="144"/>
      <c r="AL79" s="144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s="1" customFormat="1" ht="20.100000000000001" customHeight="1" x14ac:dyDescent="0.25">
      <c r="B80" s="145"/>
      <c r="C80" s="145"/>
      <c r="D80" s="145"/>
      <c r="E80" s="145"/>
      <c r="F80" s="145"/>
      <c r="G80" s="145"/>
      <c r="H80" s="145"/>
      <c r="I80" s="4"/>
      <c r="J80" s="145"/>
      <c r="K80" s="145"/>
      <c r="L80" s="145"/>
      <c r="M80" s="145"/>
      <c r="N80" s="145"/>
      <c r="O80" s="145"/>
      <c r="P80" s="145"/>
      <c r="Q80" s="101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s="1" customFormat="1" ht="20.100000000000001" customHeight="1" x14ac:dyDescent="0.25"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01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s="1" customFormat="1" ht="20.100000000000001" customHeight="1" x14ac:dyDescent="0.25"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01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4"/>
      <c r="AD82" s="144"/>
      <c r="AE82" s="144"/>
      <c r="AF82" s="144"/>
      <c r="AG82" s="144"/>
      <c r="AH82" s="144"/>
      <c r="AI82" s="144"/>
      <c r="AJ82" s="144"/>
      <c r="AK82" s="144"/>
      <c r="AL82" s="144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s="1" customFormat="1" ht="20.100000000000001" customHeight="1" x14ac:dyDescent="0.25"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01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s="1" customFormat="1" ht="20.100000000000001" customHeight="1" x14ac:dyDescent="0.25"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01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4"/>
      <c r="AD84" s="144"/>
      <c r="AE84" s="144"/>
      <c r="AF84" s="144"/>
      <c r="AG84" s="144"/>
      <c r="AH84" s="144"/>
      <c r="AI84" s="144"/>
      <c r="AJ84" s="144"/>
      <c r="AK84" s="144"/>
      <c r="AL84" s="144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s="1" customFormat="1" ht="20.100000000000001" customHeight="1" x14ac:dyDescent="0.25"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01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s="1" customFormat="1" ht="20.100000000000001" customHeight="1" x14ac:dyDescent="0.25"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01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s="1" customFormat="1" ht="20.100000000000001" customHeight="1" x14ac:dyDescent="0.25"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01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4"/>
      <c r="AD87" s="144"/>
      <c r="AE87" s="144"/>
      <c r="AF87" s="144"/>
      <c r="AG87" s="144"/>
      <c r="AH87" s="144"/>
      <c r="AI87" s="144"/>
      <c r="AJ87" s="144"/>
      <c r="AK87" s="144"/>
      <c r="AL87" s="144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s="1" customFormat="1" ht="20.100000000000001" customHeight="1" x14ac:dyDescent="0.25"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01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s="1" customFormat="1" ht="20.100000000000001" customHeight="1" x14ac:dyDescent="0.25"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01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s="1" customFormat="1" ht="20.100000000000001" customHeight="1" x14ac:dyDescent="0.25"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01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s="1" customFormat="1" ht="20.100000000000001" customHeight="1" x14ac:dyDescent="0.25"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01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s="1" customFormat="1" ht="20.100000000000001" customHeight="1" x14ac:dyDescent="0.25"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01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s="1" customFormat="1" ht="20.100000000000001" customHeight="1" x14ac:dyDescent="0.25"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01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s="1" customFormat="1" ht="20.100000000000001" customHeight="1" x14ac:dyDescent="0.25"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01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s="1" customFormat="1" ht="20.100000000000001" customHeight="1" x14ac:dyDescent="0.25"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01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s="1" customFormat="1" ht="20.100000000000001" customHeight="1" x14ac:dyDescent="0.25"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01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s="1" customFormat="1" ht="20.100000000000001" customHeight="1" x14ac:dyDescent="0.25"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01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s="1" customFormat="1" ht="20.100000000000001" customHeight="1" x14ac:dyDescent="0.25"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01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s="1" customFormat="1" ht="20.100000000000001" customHeight="1" x14ac:dyDescent="0.25"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01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s="1" customFormat="1" ht="20.100000000000001" customHeight="1" x14ac:dyDescent="0.25"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01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s="1" customFormat="1" ht="20.100000000000001" customHeight="1" x14ac:dyDescent="0.25"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01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s="1" customFormat="1" ht="20.100000000000001" customHeight="1" x14ac:dyDescent="0.25"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01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s="1" customFormat="1" ht="20.100000000000001" customHeight="1" x14ac:dyDescent="0.25"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01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</row>
    <row r="104" spans="2:68" s="1" customFormat="1" ht="20.100000000000001" customHeight="1" x14ac:dyDescent="0.25"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01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</row>
    <row r="105" spans="2:68" s="1" customFormat="1" ht="20.100000000000001" customHeight="1" x14ac:dyDescent="0.25"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01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</row>
    <row r="106" spans="2:68" s="1" customFormat="1" ht="20.100000000000001" customHeight="1" x14ac:dyDescent="0.25"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01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</row>
    <row r="107" spans="2:68" s="1" customFormat="1" ht="20.100000000000001" customHeight="1" x14ac:dyDescent="0.25"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01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</row>
    <row r="108" spans="2:68" s="1" customFormat="1" ht="20.100000000000001" customHeight="1" x14ac:dyDescent="0.25"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01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</row>
    <row r="109" spans="2:68" s="1" customFormat="1" ht="20.100000000000001" customHeight="1" x14ac:dyDescent="0.25"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01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</row>
    <row r="110" spans="2:68" s="1" customFormat="1" ht="20.100000000000001" customHeight="1" x14ac:dyDescent="0.25"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01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</row>
    <row r="111" spans="2:68" s="1" customFormat="1" ht="20.100000000000001" customHeight="1" x14ac:dyDescent="0.25"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01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</row>
    <row r="112" spans="2:68" s="1" customFormat="1" ht="20.100000000000001" customHeight="1" x14ac:dyDescent="0.25"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01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</row>
    <row r="113" spans="2:38" s="1" customFormat="1" ht="20.100000000000001" customHeight="1" x14ac:dyDescent="0.25"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01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</row>
    <row r="114" spans="2:38" s="1" customFormat="1" ht="20.100000000000001" customHeight="1" x14ac:dyDescent="0.25"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01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</row>
    <row r="115" spans="2:38" s="1" customFormat="1" ht="20.100000000000001" customHeight="1" x14ac:dyDescent="0.25"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01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</row>
    <row r="116" spans="2:38" s="1" customFormat="1" ht="20.100000000000001" customHeight="1" x14ac:dyDescent="0.25"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01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</row>
    <row r="117" spans="2:38" s="1" customFormat="1" ht="20.100000000000001" customHeight="1" x14ac:dyDescent="0.25"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01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</row>
    <row r="118" spans="2:38" s="1" customFormat="1" ht="20.100000000000001" customHeight="1" x14ac:dyDescent="0.25"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01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</row>
    <row r="119" spans="2:38" s="1" customFormat="1" ht="20.100000000000001" customHeight="1" x14ac:dyDescent="0.25"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01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</row>
    <row r="120" spans="2:38" s="1" customFormat="1" ht="20.100000000000001" customHeight="1" x14ac:dyDescent="0.25"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01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</row>
    <row r="121" spans="2:38" s="1" customFormat="1" ht="20.100000000000001" customHeight="1" x14ac:dyDescent="0.25"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01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</row>
    <row r="122" spans="2:38" s="1" customFormat="1" ht="20.100000000000001" customHeight="1" x14ac:dyDescent="0.25"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01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</row>
    <row r="123" spans="2:38" s="1" customFormat="1" ht="20.100000000000001" customHeight="1" x14ac:dyDescent="0.25"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01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</row>
    <row r="124" spans="2:38" s="1" customFormat="1" ht="20.100000000000001" customHeight="1" x14ac:dyDescent="0.25"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01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</row>
    <row r="125" spans="2:38" s="1" customFormat="1" ht="20.100000000000001" customHeight="1" x14ac:dyDescent="0.25"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01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</row>
    <row r="126" spans="2:38" s="1" customFormat="1" ht="20.100000000000001" customHeight="1" x14ac:dyDescent="0.25"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01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</row>
    <row r="127" spans="2:38" s="1" customFormat="1" ht="20.100000000000001" customHeight="1" x14ac:dyDescent="0.25"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01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</row>
    <row r="128" spans="2:38" s="1" customFormat="1" ht="20.100000000000001" customHeight="1" x14ac:dyDescent="0.25"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01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</row>
    <row r="129" spans="2:38" s="1" customFormat="1" ht="20.100000000000001" customHeight="1" x14ac:dyDescent="0.25"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01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</row>
    <row r="130" spans="2:38" s="1" customFormat="1" ht="20.100000000000001" customHeight="1" x14ac:dyDescent="0.25"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01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</row>
    <row r="131" spans="2:38" s="1" customFormat="1" ht="20.100000000000001" customHeight="1" x14ac:dyDescent="0.25"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01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</row>
    <row r="132" spans="2:38" s="1" customFormat="1" ht="20.100000000000001" customHeight="1" x14ac:dyDescent="0.25"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01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</row>
    <row r="133" spans="2:38" s="1" customFormat="1" ht="20.100000000000001" customHeight="1" x14ac:dyDescent="0.25"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01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</row>
    <row r="134" spans="2:38" s="1" customFormat="1" ht="20.100000000000001" customHeight="1" x14ac:dyDescent="0.25"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01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</row>
    <row r="135" spans="2:38" s="1" customFormat="1" ht="20.100000000000001" customHeight="1" x14ac:dyDescent="0.25"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01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</row>
    <row r="136" spans="2:38" s="1" customFormat="1" ht="20.100000000000001" customHeight="1" x14ac:dyDescent="0.25"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01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</row>
    <row r="137" spans="2:38" s="1" customFormat="1" ht="20.100000000000001" customHeight="1" x14ac:dyDescent="0.25"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01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</row>
    <row r="138" spans="2:38" s="1" customFormat="1" ht="20.100000000000001" customHeight="1" x14ac:dyDescent="0.25"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01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</row>
    <row r="139" spans="2:38" s="1" customFormat="1" ht="20.100000000000001" customHeight="1" x14ac:dyDescent="0.25"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01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</row>
    <row r="140" spans="2:38" s="1" customFormat="1" ht="20.100000000000001" customHeight="1" x14ac:dyDescent="0.25"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01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</row>
    <row r="141" spans="2:38" s="1" customFormat="1" ht="20.100000000000001" customHeight="1" x14ac:dyDescent="0.25"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01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</row>
    <row r="142" spans="2:38" s="1" customFormat="1" ht="20.100000000000001" customHeight="1" x14ac:dyDescent="0.25"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01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</row>
    <row r="143" spans="2:38" s="1" customFormat="1" ht="20.100000000000001" customHeight="1" x14ac:dyDescent="0.25"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01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</row>
    <row r="144" spans="2:38" s="1" customFormat="1" ht="20.100000000000001" customHeight="1" x14ac:dyDescent="0.25"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01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</row>
    <row r="145" spans="2:28" s="1" customFormat="1" ht="20.100000000000001" customHeight="1" x14ac:dyDescent="0.25"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01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</row>
    <row r="146" spans="2:28" s="1" customFormat="1" ht="20.100000000000001" customHeight="1" x14ac:dyDescent="0.25"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01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</row>
    <row r="147" spans="2:28" s="1" customFormat="1" ht="20.100000000000001" customHeight="1" x14ac:dyDescent="0.25"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01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</row>
    <row r="148" spans="2:28" s="1" customFormat="1" ht="20.100000000000001" customHeight="1" x14ac:dyDescent="0.25"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01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</row>
    <row r="149" spans="2:28" s="1" customFormat="1" ht="20.100000000000001" customHeight="1" x14ac:dyDescent="0.25"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01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</row>
    <row r="150" spans="2:28" s="1" customFormat="1" ht="20.100000000000001" customHeight="1" x14ac:dyDescent="0.25"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01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</row>
    <row r="151" spans="2:28" s="1" customFormat="1" ht="20.100000000000001" customHeight="1" x14ac:dyDescent="0.25"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01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</row>
    <row r="152" spans="2:28" s="1" customFormat="1" ht="20.100000000000001" customHeight="1" x14ac:dyDescent="0.25"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01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</row>
    <row r="153" spans="2:28" s="1" customFormat="1" ht="20.100000000000001" customHeight="1" x14ac:dyDescent="0.25"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Q153" s="3"/>
      <c r="W153" s="145"/>
      <c r="Z153" s="145"/>
      <c r="AA153" s="145"/>
      <c r="AB153" s="145"/>
    </row>
    <row r="154" spans="2:28" s="1" customFormat="1" ht="20.100000000000001" customHeight="1" x14ac:dyDescent="0.25"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Q154" s="3"/>
      <c r="W154" s="145"/>
      <c r="AB154" s="145"/>
    </row>
    <row r="155" spans="2:28" s="1" customFormat="1" ht="20.100000000000001" customHeight="1" x14ac:dyDescent="0.25"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Q155" s="3"/>
      <c r="W155" s="145"/>
      <c r="AB155" s="145"/>
    </row>
    <row r="156" spans="2:28" s="1" customFormat="1" ht="20.100000000000001" customHeight="1" x14ac:dyDescent="0.25">
      <c r="I156" s="145"/>
      <c r="J156" s="145"/>
      <c r="K156" s="145"/>
      <c r="L156" s="145"/>
      <c r="N156" s="145"/>
      <c r="O156" s="145"/>
      <c r="Q156" s="3"/>
      <c r="W156" s="145"/>
      <c r="AB156" s="145"/>
    </row>
    <row r="157" spans="2:28" s="1" customFormat="1" ht="20.100000000000001" customHeight="1" x14ac:dyDescent="0.25">
      <c r="I157" s="145"/>
      <c r="J157" s="145"/>
      <c r="K157" s="145"/>
      <c r="L157" s="145"/>
      <c r="N157" s="145"/>
      <c r="O157" s="145"/>
      <c r="Q157" s="3"/>
      <c r="AB157" s="145"/>
    </row>
    <row r="158" spans="2:28" s="1" customFormat="1" ht="20.100000000000001" customHeight="1" x14ac:dyDescent="0.25">
      <c r="I158" s="145"/>
      <c r="O158" s="145"/>
      <c r="Q158" s="3"/>
      <c r="AB158" s="145"/>
    </row>
    <row r="159" spans="2:28" s="1" customFormat="1" ht="20.100000000000001" customHeight="1" x14ac:dyDescent="0.25">
      <c r="I159" s="145"/>
      <c r="O159" s="145"/>
      <c r="Q159" s="3"/>
      <c r="AB159" s="145"/>
    </row>
    <row r="160" spans="2:28" s="1" customFormat="1" ht="20.100000000000001" customHeight="1" x14ac:dyDescent="0.25">
      <c r="I160" s="145"/>
      <c r="O160" s="145"/>
      <c r="Q160" s="3"/>
      <c r="AB160" s="145"/>
    </row>
    <row r="161" spans="9:28" s="1" customFormat="1" ht="20.100000000000001" customHeight="1" x14ac:dyDescent="0.25">
      <c r="I161" s="145"/>
      <c r="O161" s="145"/>
      <c r="Q161" s="3"/>
      <c r="AB161" s="145"/>
    </row>
    <row r="162" spans="9:28" s="1" customFormat="1" ht="20.100000000000001" customHeight="1" x14ac:dyDescent="0.25">
      <c r="O162" s="145"/>
      <c r="Q162" s="3"/>
      <c r="AB162" s="145"/>
    </row>
    <row r="163" spans="9:28" s="1" customFormat="1" ht="20.100000000000001" customHeight="1" x14ac:dyDescent="0.25">
      <c r="O163" s="145"/>
      <c r="Q163" s="3"/>
      <c r="AB163" s="145"/>
    </row>
    <row r="164" spans="9:28" s="1" customFormat="1" ht="20.100000000000001" customHeight="1" x14ac:dyDescent="0.25">
      <c r="Q164" s="3"/>
    </row>
    <row r="165" spans="9:28" s="1" customFormat="1" ht="20.100000000000001" customHeight="1" x14ac:dyDescent="0.25">
      <c r="Q165" s="3"/>
    </row>
    <row r="166" spans="9:28" s="1" customFormat="1" ht="20.100000000000001" customHeight="1" x14ac:dyDescent="0.25">
      <c r="Q166" s="3"/>
    </row>
    <row r="167" spans="9:28" s="1" customFormat="1" ht="20.100000000000001" customHeight="1" x14ac:dyDescent="0.25">
      <c r="Q167" s="3"/>
    </row>
    <row r="168" spans="9:28" s="1" customFormat="1" ht="20.100000000000001" customHeight="1" x14ac:dyDescent="0.25">
      <c r="Q168" s="3"/>
    </row>
    <row r="169" spans="9:28" s="1" customFormat="1" ht="20.100000000000001" customHeight="1" x14ac:dyDescent="0.25">
      <c r="Q169" s="3"/>
    </row>
    <row r="170" spans="9:28" s="1" customFormat="1" ht="20.100000000000001" customHeight="1" x14ac:dyDescent="0.25">
      <c r="Q170" s="3"/>
    </row>
    <row r="171" spans="9:28" s="1" customFormat="1" ht="20.100000000000001" customHeight="1" x14ac:dyDescent="0.25">
      <c r="Q171" s="3"/>
    </row>
    <row r="172" spans="9:28" s="1" customFormat="1" ht="20.100000000000001" customHeight="1" x14ac:dyDescent="0.25">
      <c r="Q172" s="3"/>
    </row>
    <row r="173" spans="9:28" s="1" customFormat="1" ht="20.100000000000001" customHeight="1" x14ac:dyDescent="0.25">
      <c r="Q173" s="3"/>
    </row>
    <row r="174" spans="9:28" s="1" customFormat="1" ht="20.100000000000001" customHeight="1" x14ac:dyDescent="0.25">
      <c r="Q174" s="3"/>
    </row>
    <row r="175" spans="9:28" s="1" customFormat="1" ht="20.100000000000001" customHeight="1" x14ac:dyDescent="0.25">
      <c r="Q175" s="3"/>
    </row>
    <row r="176" spans="9:28" s="1" customFormat="1" ht="20.100000000000001" customHeight="1" x14ac:dyDescent="0.25">
      <c r="Q176" s="3"/>
    </row>
    <row r="177" spans="17:17" s="1" customFormat="1" ht="20.100000000000001" customHeight="1" x14ac:dyDescent="0.25">
      <c r="Q177" s="3"/>
    </row>
    <row r="178" spans="17:17" s="1" customFormat="1" ht="20.100000000000001" customHeight="1" x14ac:dyDescent="0.25">
      <c r="Q178" s="3"/>
    </row>
    <row r="179" spans="17:17" s="1" customFormat="1" ht="20.100000000000001" customHeight="1" x14ac:dyDescent="0.25">
      <c r="Q179" s="3"/>
    </row>
    <row r="180" spans="17:17" s="1" customFormat="1" ht="20.100000000000001" customHeight="1" x14ac:dyDescent="0.25">
      <c r="Q180" s="3"/>
    </row>
    <row r="181" spans="17:17" s="1" customFormat="1" ht="20.100000000000001" customHeight="1" x14ac:dyDescent="0.25">
      <c r="Q181" s="3"/>
    </row>
    <row r="182" spans="17:17" s="1" customFormat="1" ht="20.100000000000001" customHeight="1" x14ac:dyDescent="0.25">
      <c r="Q182" s="3"/>
    </row>
    <row r="183" spans="17:17" s="1" customFormat="1" ht="20.100000000000001" customHeight="1" x14ac:dyDescent="0.25">
      <c r="Q183" s="3"/>
    </row>
    <row r="184" spans="17:17" s="1" customFormat="1" ht="20.100000000000001" customHeight="1" x14ac:dyDescent="0.25">
      <c r="Q184" s="3"/>
    </row>
    <row r="185" spans="17:17" s="1" customFormat="1" ht="20.100000000000001" customHeight="1" x14ac:dyDescent="0.25">
      <c r="Q185" s="3"/>
    </row>
    <row r="186" spans="17:17" s="1" customFormat="1" ht="20.100000000000001" customHeight="1" x14ac:dyDescent="0.25">
      <c r="Q186" s="3"/>
    </row>
    <row r="187" spans="17:17" s="1" customFormat="1" ht="20.100000000000001" customHeight="1" x14ac:dyDescent="0.25">
      <c r="Q187" s="3"/>
    </row>
    <row r="188" spans="17:17" s="1" customFormat="1" ht="20.100000000000001" customHeight="1" x14ac:dyDescent="0.25">
      <c r="Q188" s="3"/>
    </row>
    <row r="189" spans="17:17" s="1" customFormat="1" ht="20.100000000000001" customHeight="1" x14ac:dyDescent="0.25">
      <c r="Q189" s="3"/>
    </row>
    <row r="190" spans="17:17" s="1" customFormat="1" ht="20.100000000000001" customHeight="1" x14ac:dyDescent="0.25">
      <c r="Q190" s="3"/>
    </row>
    <row r="191" spans="17:17" s="1" customFormat="1" ht="20.100000000000001" customHeight="1" x14ac:dyDescent="0.25">
      <c r="Q191" s="3"/>
    </row>
    <row r="192" spans="17:17" s="1" customFormat="1" ht="20.100000000000001" customHeight="1" x14ac:dyDescent="0.25">
      <c r="Q192" s="3"/>
    </row>
    <row r="193" spans="17:17" s="1" customFormat="1" ht="20.100000000000001" customHeight="1" x14ac:dyDescent="0.25">
      <c r="Q193" s="3"/>
    </row>
    <row r="194" spans="17:17" s="1" customFormat="1" ht="20.100000000000001" customHeight="1" x14ac:dyDescent="0.25">
      <c r="Q194" s="3"/>
    </row>
    <row r="195" spans="17:17" s="1" customFormat="1" ht="20.100000000000001" customHeight="1" x14ac:dyDescent="0.25">
      <c r="Q195" s="3"/>
    </row>
    <row r="196" spans="17:17" s="1" customFormat="1" ht="20.100000000000001" customHeight="1" x14ac:dyDescent="0.25">
      <c r="Q196" s="3"/>
    </row>
    <row r="197" spans="17:17" s="1" customFormat="1" ht="20.100000000000001" customHeight="1" x14ac:dyDescent="0.25">
      <c r="Q197" s="3"/>
    </row>
    <row r="198" spans="17:17" s="1" customFormat="1" ht="20.100000000000001" customHeight="1" x14ac:dyDescent="0.25">
      <c r="Q198" s="3"/>
    </row>
    <row r="199" spans="17:17" s="1" customFormat="1" ht="20.100000000000001" customHeight="1" x14ac:dyDescent="0.25">
      <c r="Q199" s="3"/>
    </row>
    <row r="200" spans="17:17" s="1" customFormat="1" ht="20.100000000000001" customHeight="1" x14ac:dyDescent="0.25">
      <c r="Q200" s="3"/>
    </row>
    <row r="201" spans="17:17" s="1" customFormat="1" ht="20.100000000000001" customHeight="1" x14ac:dyDescent="0.25">
      <c r="Q201" s="3"/>
    </row>
    <row r="202" spans="17:17" s="1" customFormat="1" ht="20.100000000000001" customHeight="1" x14ac:dyDescent="0.25">
      <c r="Q202" s="3"/>
    </row>
    <row r="203" spans="17:17" s="1" customFormat="1" ht="20.100000000000001" customHeight="1" x14ac:dyDescent="0.25">
      <c r="Q203" s="3"/>
    </row>
    <row r="204" spans="17:17" s="1" customFormat="1" ht="20.100000000000001" customHeight="1" x14ac:dyDescent="0.25">
      <c r="Q204" s="3"/>
    </row>
    <row r="205" spans="17:17" s="1" customFormat="1" ht="20.100000000000001" customHeight="1" x14ac:dyDescent="0.25">
      <c r="Q205" s="3"/>
    </row>
    <row r="206" spans="17:17" s="1" customFormat="1" ht="20.100000000000001" customHeight="1" x14ac:dyDescent="0.25">
      <c r="Q206" s="3"/>
    </row>
    <row r="207" spans="17:17" s="1" customFormat="1" ht="20.100000000000001" customHeight="1" x14ac:dyDescent="0.25">
      <c r="Q207" s="3"/>
    </row>
    <row r="208" spans="17:17" s="1" customFormat="1" ht="20.100000000000001" customHeight="1" x14ac:dyDescent="0.25">
      <c r="Q208" s="3"/>
    </row>
    <row r="209" spans="17:17" s="1" customFormat="1" ht="20.100000000000001" customHeight="1" x14ac:dyDescent="0.25">
      <c r="Q209" s="3"/>
    </row>
    <row r="210" spans="17:17" s="1" customFormat="1" ht="20.100000000000001" customHeight="1" x14ac:dyDescent="0.25">
      <c r="Q210" s="3"/>
    </row>
    <row r="211" spans="17:17" s="1" customFormat="1" ht="20.100000000000001" customHeight="1" x14ac:dyDescent="0.25">
      <c r="Q211" s="3"/>
    </row>
    <row r="212" spans="17:17" s="1" customFormat="1" ht="20.100000000000001" customHeight="1" x14ac:dyDescent="0.25">
      <c r="Q212" s="3"/>
    </row>
    <row r="213" spans="17:17" s="1" customFormat="1" ht="20.100000000000001" customHeight="1" x14ac:dyDescent="0.25">
      <c r="Q213" s="3"/>
    </row>
    <row r="214" spans="17:17" s="1" customFormat="1" ht="20.100000000000001" customHeight="1" x14ac:dyDescent="0.25">
      <c r="Q214" s="3"/>
    </row>
    <row r="215" spans="17:17" s="1" customFormat="1" ht="20.100000000000001" customHeight="1" x14ac:dyDescent="0.25">
      <c r="Q215" s="3"/>
    </row>
    <row r="216" spans="17:17" s="1" customFormat="1" ht="20.100000000000001" customHeight="1" x14ac:dyDescent="0.25">
      <c r="Q216" s="3"/>
    </row>
    <row r="217" spans="17:17" s="1" customFormat="1" ht="20.100000000000001" customHeight="1" x14ac:dyDescent="0.25">
      <c r="Q217" s="3"/>
    </row>
    <row r="218" spans="17:17" s="1" customFormat="1" ht="20.100000000000001" customHeight="1" x14ac:dyDescent="0.25">
      <c r="Q218" s="3"/>
    </row>
    <row r="219" spans="17:17" s="1" customFormat="1" ht="20.100000000000001" customHeight="1" x14ac:dyDescent="0.25">
      <c r="Q219" s="3"/>
    </row>
    <row r="220" spans="17:17" s="1" customFormat="1" ht="20.100000000000001" customHeight="1" x14ac:dyDescent="0.25">
      <c r="Q220" s="3"/>
    </row>
    <row r="221" spans="17:17" s="1" customFormat="1" ht="20.100000000000001" customHeight="1" x14ac:dyDescent="0.25">
      <c r="Q221" s="3"/>
    </row>
    <row r="222" spans="17:17" s="1" customFormat="1" ht="20.100000000000001" customHeight="1" x14ac:dyDescent="0.25">
      <c r="Q222" s="3"/>
    </row>
    <row r="223" spans="17:17" s="1" customFormat="1" ht="20.100000000000001" customHeight="1" x14ac:dyDescent="0.25">
      <c r="Q223" s="3"/>
    </row>
    <row r="224" spans="17:17" s="1" customFormat="1" ht="20.100000000000001" customHeight="1" x14ac:dyDescent="0.25">
      <c r="Q224" s="3"/>
    </row>
    <row r="225" spans="17:17" s="1" customFormat="1" ht="20.100000000000001" customHeight="1" x14ac:dyDescent="0.25">
      <c r="Q225" s="3"/>
    </row>
    <row r="226" spans="17:17" s="1" customFormat="1" ht="20.100000000000001" customHeight="1" x14ac:dyDescent="0.25">
      <c r="Q226" s="3"/>
    </row>
    <row r="227" spans="17:17" s="1" customFormat="1" ht="20.100000000000001" customHeight="1" x14ac:dyDescent="0.25">
      <c r="Q227" s="3"/>
    </row>
    <row r="228" spans="17:17" s="1" customFormat="1" ht="20.100000000000001" customHeight="1" x14ac:dyDescent="0.25">
      <c r="Q228" s="3"/>
    </row>
    <row r="229" spans="17:17" s="1" customFormat="1" ht="20.100000000000001" customHeight="1" x14ac:dyDescent="0.25">
      <c r="Q229" s="3"/>
    </row>
    <row r="230" spans="17:17" s="1" customFormat="1" ht="20.100000000000001" customHeight="1" x14ac:dyDescent="0.25">
      <c r="Q230" s="3"/>
    </row>
    <row r="231" spans="17:17" s="1" customFormat="1" ht="20.100000000000001" customHeight="1" x14ac:dyDescent="0.25">
      <c r="Q231" s="3"/>
    </row>
    <row r="232" spans="17:17" s="1" customFormat="1" ht="20.100000000000001" customHeight="1" x14ac:dyDescent="0.25">
      <c r="Q232" s="3"/>
    </row>
    <row r="233" spans="17:17" s="1" customFormat="1" ht="20.100000000000001" customHeight="1" x14ac:dyDescent="0.25">
      <c r="Q233" s="3"/>
    </row>
    <row r="234" spans="17:17" s="1" customFormat="1" ht="20.100000000000001" customHeight="1" x14ac:dyDescent="0.25">
      <c r="Q234" s="3"/>
    </row>
    <row r="235" spans="17:17" s="1" customFormat="1" ht="20.100000000000001" customHeight="1" x14ac:dyDescent="0.25">
      <c r="Q235" s="3"/>
    </row>
    <row r="236" spans="17:17" s="1" customFormat="1" ht="20.100000000000001" customHeight="1" x14ac:dyDescent="0.25">
      <c r="Q236" s="3"/>
    </row>
    <row r="237" spans="17:17" s="1" customFormat="1" ht="20.100000000000001" customHeight="1" x14ac:dyDescent="0.25">
      <c r="Q237" s="3"/>
    </row>
    <row r="238" spans="17:17" s="1" customFormat="1" ht="20.100000000000001" customHeight="1" x14ac:dyDescent="0.25">
      <c r="Q238" s="3"/>
    </row>
    <row r="239" spans="17:17" s="1" customFormat="1" ht="20.100000000000001" customHeight="1" x14ac:dyDescent="0.25">
      <c r="Q239" s="3"/>
    </row>
    <row r="240" spans="17:17" s="1" customFormat="1" ht="20.100000000000001" customHeight="1" x14ac:dyDescent="0.25">
      <c r="Q240" s="3"/>
    </row>
    <row r="241" spans="17:17" s="1" customFormat="1" ht="20.100000000000001" customHeight="1" x14ac:dyDescent="0.25">
      <c r="Q241" s="3"/>
    </row>
    <row r="242" spans="17:17" s="1" customFormat="1" ht="20.100000000000001" customHeight="1" x14ac:dyDescent="0.25">
      <c r="Q242" s="3"/>
    </row>
    <row r="243" spans="17:17" s="1" customFormat="1" ht="20.100000000000001" customHeight="1" x14ac:dyDescent="0.25">
      <c r="Q243" s="3"/>
    </row>
    <row r="244" spans="17:17" s="1" customFormat="1" ht="20.100000000000001" customHeight="1" x14ac:dyDescent="0.25">
      <c r="Q244" s="3"/>
    </row>
    <row r="245" spans="17:17" s="1" customFormat="1" ht="20.100000000000001" customHeight="1" x14ac:dyDescent="0.25">
      <c r="Q245" s="3"/>
    </row>
    <row r="246" spans="17:17" s="1" customFormat="1" ht="20.100000000000001" customHeight="1" x14ac:dyDescent="0.25">
      <c r="Q246" s="3"/>
    </row>
    <row r="247" spans="17:17" s="1" customFormat="1" ht="20.100000000000001" customHeight="1" x14ac:dyDescent="0.25">
      <c r="Q247" s="3"/>
    </row>
    <row r="248" spans="17:17" s="1" customFormat="1" ht="20.100000000000001" customHeight="1" x14ac:dyDescent="0.25">
      <c r="Q248" s="3"/>
    </row>
    <row r="249" spans="17:17" s="1" customFormat="1" ht="20.100000000000001" customHeight="1" x14ac:dyDescent="0.25">
      <c r="Q249" s="3"/>
    </row>
    <row r="250" spans="17:17" s="1" customFormat="1" ht="20.100000000000001" customHeight="1" x14ac:dyDescent="0.25">
      <c r="Q250" s="3"/>
    </row>
    <row r="251" spans="17:17" s="1" customFormat="1" ht="20.100000000000001" customHeight="1" x14ac:dyDescent="0.25">
      <c r="Q251" s="3"/>
    </row>
    <row r="252" spans="17:17" s="1" customFormat="1" ht="20.100000000000001" customHeight="1" x14ac:dyDescent="0.25">
      <c r="Q252" s="3"/>
    </row>
    <row r="253" spans="17:17" s="1" customFormat="1" ht="20.100000000000001" customHeight="1" x14ac:dyDescent="0.25">
      <c r="Q253" s="3"/>
    </row>
    <row r="254" spans="17:17" s="1" customFormat="1" ht="20.100000000000001" customHeight="1" x14ac:dyDescent="0.25">
      <c r="Q254" s="3"/>
    </row>
    <row r="255" spans="17:17" s="1" customFormat="1" ht="20.100000000000001" customHeight="1" x14ac:dyDescent="0.25">
      <c r="Q255" s="3"/>
    </row>
    <row r="256" spans="17:17" s="1" customFormat="1" ht="20.100000000000001" customHeight="1" x14ac:dyDescent="0.25">
      <c r="Q256" s="3"/>
    </row>
    <row r="257" spans="17:17" s="1" customFormat="1" ht="20.100000000000001" customHeight="1" x14ac:dyDescent="0.25">
      <c r="Q257" s="3"/>
    </row>
    <row r="258" spans="17:17" s="1" customFormat="1" ht="20.100000000000001" customHeight="1" x14ac:dyDescent="0.25">
      <c r="Q258" s="3"/>
    </row>
    <row r="259" spans="17:17" s="1" customFormat="1" ht="20.100000000000001" customHeight="1" x14ac:dyDescent="0.25">
      <c r="Q259" s="3"/>
    </row>
    <row r="260" spans="17:17" s="1" customFormat="1" ht="20.100000000000001" customHeight="1" x14ac:dyDescent="0.25">
      <c r="Q260" s="3"/>
    </row>
    <row r="261" spans="17:17" s="1" customFormat="1" ht="20.100000000000001" customHeight="1" x14ac:dyDescent="0.25">
      <c r="Q261" s="3"/>
    </row>
    <row r="262" spans="17:17" s="1" customFormat="1" ht="20.100000000000001" customHeight="1" x14ac:dyDescent="0.25">
      <c r="Q262" s="3"/>
    </row>
    <row r="263" spans="17:17" s="1" customFormat="1" ht="20.100000000000001" customHeight="1" x14ac:dyDescent="0.25">
      <c r="Q263" s="3"/>
    </row>
    <row r="264" spans="17:17" s="1" customFormat="1" ht="20.100000000000001" customHeight="1" x14ac:dyDescent="0.25">
      <c r="Q264" s="3"/>
    </row>
    <row r="265" spans="17:17" s="1" customFormat="1" ht="20.100000000000001" customHeight="1" x14ac:dyDescent="0.25">
      <c r="Q265" s="3"/>
    </row>
    <row r="266" spans="17:17" s="1" customFormat="1" ht="20.100000000000001" customHeight="1" x14ac:dyDescent="0.25">
      <c r="Q266" s="3"/>
    </row>
    <row r="267" spans="17:17" s="1" customFormat="1" ht="20.100000000000001" customHeight="1" x14ac:dyDescent="0.25">
      <c r="Q267" s="3"/>
    </row>
    <row r="268" spans="17:17" s="1" customFormat="1" ht="20.100000000000001" customHeight="1" x14ac:dyDescent="0.25">
      <c r="Q268" s="3"/>
    </row>
    <row r="269" spans="17:17" s="1" customFormat="1" ht="20.100000000000001" customHeight="1" x14ac:dyDescent="0.25">
      <c r="Q269" s="3"/>
    </row>
    <row r="270" spans="17:17" s="1" customFormat="1" ht="20.100000000000001" customHeight="1" x14ac:dyDescent="0.25">
      <c r="Q270" s="3"/>
    </row>
    <row r="271" spans="17:17" s="1" customFormat="1" ht="20.100000000000001" customHeight="1" x14ac:dyDescent="0.25">
      <c r="Q271" s="3"/>
    </row>
    <row r="272" spans="17:17" s="1" customFormat="1" ht="20.100000000000001" customHeight="1" x14ac:dyDescent="0.25">
      <c r="Q272" s="3"/>
    </row>
    <row r="273" spans="17:17" s="1" customFormat="1" ht="20.100000000000001" customHeight="1" x14ac:dyDescent="0.25">
      <c r="Q273" s="3"/>
    </row>
    <row r="274" spans="17:17" s="1" customFormat="1" ht="20.100000000000001" customHeight="1" x14ac:dyDescent="0.25">
      <c r="Q274" s="3"/>
    </row>
    <row r="275" spans="17:17" s="1" customFormat="1" ht="20.100000000000001" customHeight="1" x14ac:dyDescent="0.25">
      <c r="Q275" s="3"/>
    </row>
    <row r="276" spans="17:17" s="1" customFormat="1" ht="20.100000000000001" customHeight="1" x14ac:dyDescent="0.25">
      <c r="Q276" s="3"/>
    </row>
    <row r="277" spans="17:17" s="1" customFormat="1" ht="20.100000000000001" customHeight="1" x14ac:dyDescent="0.25">
      <c r="Q277" s="3"/>
    </row>
    <row r="278" spans="17:17" s="1" customFormat="1" ht="20.100000000000001" customHeight="1" x14ac:dyDescent="0.25">
      <c r="Q278" s="3"/>
    </row>
    <row r="279" spans="17:17" s="1" customFormat="1" ht="20.100000000000001" customHeight="1" x14ac:dyDescent="0.25">
      <c r="Q279" s="3"/>
    </row>
    <row r="280" spans="17:17" s="1" customFormat="1" ht="20.100000000000001" customHeight="1" x14ac:dyDescent="0.25">
      <c r="Q280" s="3"/>
    </row>
    <row r="281" spans="17:17" s="1" customFormat="1" ht="20.100000000000001" customHeight="1" x14ac:dyDescent="0.25">
      <c r="Q281" s="3"/>
    </row>
    <row r="282" spans="17:17" s="1" customFormat="1" ht="20.100000000000001" customHeight="1" x14ac:dyDescent="0.25">
      <c r="Q282" s="3"/>
    </row>
    <row r="283" spans="17:17" s="1" customFormat="1" ht="20.100000000000001" customHeight="1" x14ac:dyDescent="0.25">
      <c r="Q283" s="3"/>
    </row>
    <row r="284" spans="17:17" s="1" customFormat="1" ht="20.100000000000001" customHeight="1" x14ac:dyDescent="0.25">
      <c r="Q284" s="3"/>
    </row>
    <row r="285" spans="17:17" s="1" customFormat="1" ht="20.100000000000001" customHeight="1" x14ac:dyDescent="0.25">
      <c r="Q285" s="3"/>
    </row>
    <row r="286" spans="17:17" s="1" customFormat="1" ht="20.100000000000001" customHeight="1" x14ac:dyDescent="0.25">
      <c r="Q286" s="3"/>
    </row>
    <row r="287" spans="17:17" s="1" customFormat="1" ht="20.100000000000001" customHeight="1" x14ac:dyDescent="0.25">
      <c r="Q287" s="3"/>
    </row>
    <row r="288" spans="17:17" s="1" customFormat="1" ht="20.100000000000001" customHeight="1" x14ac:dyDescent="0.25">
      <c r="Q288" s="3"/>
    </row>
    <row r="289" spans="17:40" s="1" customFormat="1" ht="20.100000000000001" customHeight="1" x14ac:dyDescent="0.25">
      <c r="Q289" s="3"/>
    </row>
    <row r="290" spans="17:40" s="1" customFormat="1" ht="20.100000000000001" customHeight="1" x14ac:dyDescent="0.25">
      <c r="Q290" s="3"/>
    </row>
    <row r="291" spans="17:40" s="1" customFormat="1" ht="20.100000000000001" customHeight="1" x14ac:dyDescent="0.25">
      <c r="Q291" s="3"/>
    </row>
    <row r="292" spans="17:40" s="1" customFormat="1" ht="20.100000000000001" customHeight="1" x14ac:dyDescent="0.25">
      <c r="Q292" s="3"/>
    </row>
    <row r="293" spans="17:40" s="1" customFormat="1" ht="20.100000000000001" customHeight="1" x14ac:dyDescent="0.25">
      <c r="Q293" s="3"/>
    </row>
    <row r="294" spans="17:40" s="1" customFormat="1" ht="20.100000000000001" customHeight="1" x14ac:dyDescent="0.25">
      <c r="Q294" s="3"/>
    </row>
    <row r="295" spans="17:40" s="1" customFormat="1" ht="20.100000000000001" customHeight="1" x14ac:dyDescent="0.25">
      <c r="Q295" s="3"/>
      <c r="X295" s="5"/>
      <c r="Y295" s="5"/>
    </row>
    <row r="296" spans="17:40" s="1" customFormat="1" ht="20.100000000000001" customHeight="1" x14ac:dyDescent="0.25">
      <c r="Q296" s="3"/>
      <c r="X296" s="5"/>
      <c r="Y296" s="5"/>
    </row>
    <row r="297" spans="17:40" s="1" customFormat="1" ht="20.100000000000001" customHeight="1" x14ac:dyDescent="0.25">
      <c r="Q297" s="3"/>
      <c r="X297" s="5"/>
      <c r="Y297" s="5"/>
    </row>
    <row r="298" spans="17:40" s="1" customFormat="1" ht="20.100000000000001" customHeight="1" x14ac:dyDescent="0.25">
      <c r="Q298" s="3"/>
      <c r="X298" s="5"/>
      <c r="Y298" s="5"/>
      <c r="Z298" s="5"/>
      <c r="AA298" s="5"/>
    </row>
    <row r="299" spans="17:40" ht="20.100000000000001" customHeight="1" x14ac:dyDescent="0.25"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7:40" ht="20.100000000000001" customHeight="1" x14ac:dyDescent="0.25"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7:40" ht="20.100000000000001" customHeight="1" x14ac:dyDescent="0.25"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7:40" ht="20.100000000000001" customHeight="1" x14ac:dyDescent="0.25"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7:40" ht="20.100000000000001" customHeight="1" x14ac:dyDescent="0.25"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7:40" ht="20.100000000000001" customHeight="1" x14ac:dyDescent="0.25"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28:40" ht="20.100000000000001" customHeight="1" x14ac:dyDescent="0.25"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28:40" ht="20.100000000000001" customHeight="1" x14ac:dyDescent="0.25"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28:40" ht="20.100000000000001" customHeight="1" x14ac:dyDescent="0.25"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28:40" ht="20.100000000000001" customHeight="1" x14ac:dyDescent="0.25"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28:40" ht="20.100000000000001" customHeight="1" x14ac:dyDescent="0.25"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28:40" ht="20.100000000000001" customHeight="1" x14ac:dyDescent="0.25"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28:40" ht="20.100000000000001" customHeight="1" x14ac:dyDescent="0.25"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28:40" ht="20.100000000000001" customHeight="1" x14ac:dyDescent="0.25"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28:40" ht="20.100000000000001" customHeight="1" x14ac:dyDescent="0.25"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28:40" ht="20.100000000000001" customHeight="1" x14ac:dyDescent="0.25"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28:40" ht="20.100000000000001" customHeight="1" x14ac:dyDescent="0.25"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28:40" ht="20.100000000000001" customHeight="1" x14ac:dyDescent="0.25"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28:40" ht="20.100000000000001" customHeight="1" x14ac:dyDescent="0.25"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28:40" ht="20.100000000000001" customHeight="1" x14ac:dyDescent="0.25"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28:40" ht="20.100000000000001" customHeight="1" x14ac:dyDescent="0.25"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28:40" ht="20.100000000000001" customHeight="1" x14ac:dyDescent="0.25"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28:40" ht="20.100000000000001" customHeight="1" x14ac:dyDescent="0.25"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28:40" ht="20.100000000000001" customHeight="1" x14ac:dyDescent="0.25"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28:40" ht="20.100000000000001" customHeight="1" x14ac:dyDescent="0.25"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28:40" ht="20.100000000000001" customHeight="1" x14ac:dyDescent="0.25"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28:40" ht="20.100000000000001" customHeight="1" x14ac:dyDescent="0.25"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28:40" ht="20.100000000000001" customHeight="1" x14ac:dyDescent="0.25"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28:40" ht="20.100000000000001" customHeight="1" x14ac:dyDescent="0.25"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28:40" ht="20.100000000000001" customHeight="1" x14ac:dyDescent="0.25"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28:40" ht="20.100000000000001" customHeight="1" x14ac:dyDescent="0.25"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28:40" ht="20.100000000000001" customHeight="1" x14ac:dyDescent="0.25"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28:40" ht="20.100000000000001" customHeight="1" x14ac:dyDescent="0.25"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28:40" ht="20.100000000000001" customHeight="1" x14ac:dyDescent="0.25"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28:40" ht="20.100000000000001" customHeight="1" x14ac:dyDescent="0.25"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28:40" ht="20.100000000000001" customHeight="1" x14ac:dyDescent="0.25"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28:40" ht="20.100000000000001" customHeight="1" x14ac:dyDescent="0.25"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28:40" ht="20.100000000000001" customHeight="1" x14ac:dyDescent="0.25"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28:40" ht="20.100000000000001" customHeight="1" x14ac:dyDescent="0.25"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28:40" ht="20.100000000000001" customHeight="1" x14ac:dyDescent="0.25"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28:40" ht="20.100000000000001" customHeight="1" x14ac:dyDescent="0.25"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28:40" ht="20.100000000000001" customHeight="1" x14ac:dyDescent="0.25"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28:40" ht="20.100000000000001" customHeight="1" x14ac:dyDescent="0.25"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28:40" ht="20.100000000000001" customHeight="1" x14ac:dyDescent="0.25"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28:40" ht="20.100000000000001" customHeight="1" x14ac:dyDescent="0.25"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28:40" ht="20.100000000000001" customHeight="1" x14ac:dyDescent="0.25"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28:40" ht="20.100000000000001" customHeight="1" x14ac:dyDescent="0.25"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28:40" ht="20.100000000000001" customHeight="1" x14ac:dyDescent="0.25"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28:40" ht="20.100000000000001" customHeight="1" x14ac:dyDescent="0.25"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28:40" ht="20.100000000000001" customHeight="1" x14ac:dyDescent="0.25"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28:40" ht="20.100000000000001" customHeight="1" x14ac:dyDescent="0.25"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28:40" ht="20.100000000000001" customHeight="1" x14ac:dyDescent="0.25"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28:40" ht="20.100000000000001" customHeight="1" x14ac:dyDescent="0.25"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28:40" ht="20.100000000000001" customHeight="1" x14ac:dyDescent="0.25"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28:40" ht="20.100000000000001" customHeight="1" x14ac:dyDescent="0.25"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28:40" ht="20.100000000000001" customHeight="1" x14ac:dyDescent="0.25"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28:40" ht="20.100000000000001" customHeight="1" x14ac:dyDescent="0.25"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28:40" ht="20.100000000000001" customHeight="1" x14ac:dyDescent="0.25"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28:40" ht="20.100000000000001" customHeight="1" x14ac:dyDescent="0.25"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28:40" ht="20.100000000000001" customHeight="1" x14ac:dyDescent="0.25"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28:40" ht="20.100000000000001" customHeight="1" x14ac:dyDescent="0.25"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28:40" ht="20.100000000000001" customHeight="1" x14ac:dyDescent="0.25"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28:40" ht="20.100000000000001" customHeight="1" x14ac:dyDescent="0.25"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28:40" ht="20.100000000000001" customHeight="1" x14ac:dyDescent="0.25"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28:40" ht="20.100000000000001" customHeight="1" x14ac:dyDescent="0.25"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28:40" ht="20.100000000000001" customHeight="1" x14ac:dyDescent="0.25"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28:40" ht="20.100000000000001" customHeight="1" x14ac:dyDescent="0.25"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28:40" ht="20.100000000000001" customHeight="1" x14ac:dyDescent="0.25"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28:40" ht="20.100000000000001" customHeight="1" x14ac:dyDescent="0.25"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28:40" ht="20.100000000000001" customHeight="1" x14ac:dyDescent="0.25"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28:40" ht="20.100000000000001" customHeight="1" x14ac:dyDescent="0.25"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28:40" ht="20.100000000000001" customHeight="1" x14ac:dyDescent="0.25"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28:40" ht="20.100000000000001" customHeight="1" x14ac:dyDescent="0.25"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28:40" ht="20.100000000000001" customHeight="1" x14ac:dyDescent="0.25"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28:40" ht="20.100000000000001" customHeight="1" x14ac:dyDescent="0.25"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28:40" ht="20.100000000000001" customHeight="1" x14ac:dyDescent="0.25"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28:40" ht="20.100000000000001" customHeight="1" x14ac:dyDescent="0.25"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28:40" ht="20.100000000000001" customHeight="1" x14ac:dyDescent="0.25"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28:40" ht="20.100000000000001" customHeight="1" x14ac:dyDescent="0.25"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28:40" ht="20.100000000000001" customHeight="1" x14ac:dyDescent="0.25"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28:40" ht="20.100000000000001" customHeight="1" x14ac:dyDescent="0.25"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28:40" ht="20.100000000000001" customHeight="1" x14ac:dyDescent="0.25"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28:40" ht="20.100000000000001" customHeight="1" x14ac:dyDescent="0.25"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28:40" ht="20.100000000000001" customHeight="1" x14ac:dyDescent="0.25"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28:40" ht="20.100000000000001" customHeight="1" x14ac:dyDescent="0.25"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28:40" ht="20.100000000000001" customHeight="1" x14ac:dyDescent="0.25"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28:40" ht="20.100000000000001" customHeight="1" x14ac:dyDescent="0.25"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28:40" ht="20.100000000000001" customHeight="1" x14ac:dyDescent="0.25"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28:40" ht="20.100000000000001" customHeight="1" x14ac:dyDescent="0.25"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28:40" ht="20.100000000000001" customHeight="1" x14ac:dyDescent="0.25"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28:40" ht="20.100000000000001" customHeight="1" x14ac:dyDescent="0.25"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28:40" ht="20.100000000000001" customHeight="1" x14ac:dyDescent="0.25"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28:40" ht="20.100000000000001" customHeight="1" x14ac:dyDescent="0.25"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28:40" ht="20.100000000000001" customHeight="1" x14ac:dyDescent="0.25"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28:40" ht="20.100000000000001" customHeight="1" x14ac:dyDescent="0.25"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28:40" ht="20.100000000000001" customHeight="1" x14ac:dyDescent="0.25"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28:40" ht="20.100000000000001" customHeight="1" x14ac:dyDescent="0.25"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28:40" ht="20.100000000000001" customHeight="1" x14ac:dyDescent="0.25"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28:40" ht="20.100000000000001" customHeight="1" x14ac:dyDescent="0.25"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28:40" ht="20.100000000000001" customHeight="1" x14ac:dyDescent="0.25"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28:40" ht="20.100000000000001" customHeight="1" x14ac:dyDescent="0.25"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28:40" ht="20.100000000000001" customHeight="1" x14ac:dyDescent="0.25"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28:40" ht="20.100000000000001" customHeight="1" x14ac:dyDescent="0.25"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28:40" ht="20.100000000000001" customHeight="1" x14ac:dyDescent="0.25"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28:40" ht="20.100000000000001" customHeight="1" x14ac:dyDescent="0.25"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28:40" ht="20.100000000000001" customHeight="1" x14ac:dyDescent="0.25"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28:40" ht="20.100000000000001" customHeight="1" x14ac:dyDescent="0.25"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28:40" ht="20.100000000000001" customHeight="1" x14ac:dyDescent="0.25"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28:40" ht="20.100000000000001" customHeight="1" x14ac:dyDescent="0.25"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28:40" ht="20.100000000000001" customHeight="1" x14ac:dyDescent="0.25"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28:40" ht="20.100000000000001" customHeight="1" x14ac:dyDescent="0.25"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28:40" ht="20.100000000000001" customHeight="1" x14ac:dyDescent="0.25"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28:40" ht="20.100000000000001" customHeight="1" x14ac:dyDescent="0.25"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28:40" ht="20.100000000000001" customHeight="1" x14ac:dyDescent="0.25"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28:40" ht="20.100000000000001" customHeight="1" x14ac:dyDescent="0.25"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28:40" ht="20.100000000000001" customHeight="1" x14ac:dyDescent="0.25"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28:40" ht="20.100000000000001" customHeight="1" x14ac:dyDescent="0.25"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28:40" ht="20.100000000000001" customHeight="1" x14ac:dyDescent="0.25"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28:40" ht="20.100000000000001" customHeight="1" x14ac:dyDescent="0.25"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28:40" ht="20.100000000000001" customHeight="1" x14ac:dyDescent="0.25"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28:40" ht="20.100000000000001" customHeight="1" x14ac:dyDescent="0.25"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28:40" ht="20.100000000000001" customHeight="1" x14ac:dyDescent="0.25"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28:40" ht="20.100000000000001" customHeight="1" x14ac:dyDescent="0.25"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28:40" ht="20.100000000000001" customHeight="1" x14ac:dyDescent="0.25"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28:40" ht="20.100000000000001" customHeight="1" x14ac:dyDescent="0.25"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28:40" ht="20.100000000000001" customHeight="1" x14ac:dyDescent="0.25"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28:40" ht="20.100000000000001" customHeight="1" x14ac:dyDescent="0.25"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28:40" ht="20.100000000000001" customHeight="1" x14ac:dyDescent="0.25"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28:40" ht="20.100000000000001" customHeight="1" x14ac:dyDescent="0.25"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28:40" ht="20.100000000000001" customHeight="1" x14ac:dyDescent="0.25"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28:40" ht="20.100000000000001" customHeight="1" x14ac:dyDescent="0.25"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28:40" ht="20.100000000000001" customHeight="1" x14ac:dyDescent="0.25"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28:40" ht="20.100000000000001" customHeight="1" x14ac:dyDescent="0.25"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28:40" ht="20.100000000000001" customHeight="1" x14ac:dyDescent="0.25"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28:40" ht="20.100000000000001" customHeight="1" x14ac:dyDescent="0.25"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28:40" ht="20.100000000000001" customHeight="1" x14ac:dyDescent="0.25"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28:40" ht="20.100000000000001" customHeight="1" x14ac:dyDescent="0.25"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28:40" ht="20.100000000000001" customHeight="1" x14ac:dyDescent="0.25"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28:40" ht="20.100000000000001" customHeight="1" x14ac:dyDescent="0.25"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28:40" ht="20.100000000000001" customHeight="1" x14ac:dyDescent="0.25"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28:40" ht="20.100000000000001" customHeight="1" x14ac:dyDescent="0.25"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28:40" ht="20.100000000000001" customHeight="1" x14ac:dyDescent="0.25"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28:40" ht="20.100000000000001" customHeight="1" x14ac:dyDescent="0.25"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28:40" ht="20.100000000000001" customHeight="1" x14ac:dyDescent="0.25"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28:40" ht="20.100000000000001" customHeight="1" x14ac:dyDescent="0.25"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28:40" ht="20.100000000000001" customHeight="1" x14ac:dyDescent="0.25"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28:40" ht="20.100000000000001" customHeight="1" x14ac:dyDescent="0.25"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28:40" ht="20.100000000000001" customHeight="1" x14ac:dyDescent="0.25"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28:40" ht="20.100000000000001" customHeight="1" x14ac:dyDescent="0.25"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28:40" ht="20.100000000000001" customHeight="1" x14ac:dyDescent="0.25"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28:40" ht="20.100000000000001" customHeight="1" x14ac:dyDescent="0.25"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28:40" ht="20.100000000000001" customHeight="1" x14ac:dyDescent="0.25"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28:40" ht="20.100000000000001" customHeight="1" x14ac:dyDescent="0.25"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28:40" ht="20.100000000000001" customHeight="1" x14ac:dyDescent="0.25"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28:40" ht="20.100000000000001" customHeight="1" x14ac:dyDescent="0.25"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28:40" ht="20.100000000000001" customHeight="1" x14ac:dyDescent="0.25"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28:40" ht="20.100000000000001" customHeight="1" x14ac:dyDescent="0.25"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28:40" ht="20.100000000000001" customHeight="1" x14ac:dyDescent="0.25"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28:40" ht="20.100000000000001" customHeight="1" x14ac:dyDescent="0.25"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28:40" ht="20.100000000000001" customHeight="1" x14ac:dyDescent="0.25"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28:40" ht="20.100000000000001" customHeight="1" x14ac:dyDescent="0.25"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28:40" ht="20.100000000000001" customHeight="1" x14ac:dyDescent="0.25"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28:40" ht="20.100000000000001" customHeight="1" x14ac:dyDescent="0.25"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28:40" ht="20.100000000000001" customHeight="1" x14ac:dyDescent="0.25"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28:40" ht="20.100000000000001" customHeight="1" x14ac:dyDescent="0.25"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28:40" ht="20.100000000000001" customHeight="1" x14ac:dyDescent="0.25"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28:40" ht="20.100000000000001" customHeight="1" x14ac:dyDescent="0.25"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28:40" ht="20.100000000000001" customHeight="1" x14ac:dyDescent="0.25"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28:40" ht="20.100000000000001" customHeight="1" x14ac:dyDescent="0.25"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28:40" ht="20.100000000000001" customHeight="1" x14ac:dyDescent="0.25"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28:40" ht="20.100000000000001" customHeight="1" x14ac:dyDescent="0.25"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28:40" ht="20.100000000000001" customHeight="1" x14ac:dyDescent="0.25"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28:40" ht="20.100000000000001" customHeight="1" x14ac:dyDescent="0.25"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28:40" ht="20.100000000000001" customHeight="1" x14ac:dyDescent="0.25"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28:40" ht="20.100000000000001" customHeight="1" x14ac:dyDescent="0.25"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28:40" ht="20.100000000000001" customHeight="1" x14ac:dyDescent="0.25"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28:40" ht="20.100000000000001" customHeight="1" x14ac:dyDescent="0.25"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28:40" ht="20.100000000000001" customHeight="1" x14ac:dyDescent="0.25"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28:40" ht="20.100000000000001" customHeight="1" x14ac:dyDescent="0.25"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28:40" ht="20.100000000000001" customHeight="1" x14ac:dyDescent="0.25"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28:40" ht="20.100000000000001" customHeight="1" x14ac:dyDescent="0.25"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28:40" ht="20.100000000000001" customHeight="1" x14ac:dyDescent="0.25"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28:40" ht="20.100000000000001" customHeight="1" x14ac:dyDescent="0.25"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28:40" ht="20.100000000000001" customHeight="1" x14ac:dyDescent="0.25"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28:40" ht="20.100000000000001" customHeight="1" x14ac:dyDescent="0.25"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28:40" ht="20.100000000000001" customHeight="1" x14ac:dyDescent="0.25"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28:40" ht="20.100000000000001" customHeight="1" x14ac:dyDescent="0.25"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28:40" ht="20.100000000000001" customHeight="1" x14ac:dyDescent="0.25"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28:40" ht="20.100000000000001" customHeight="1" x14ac:dyDescent="0.25"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28:40" ht="20.100000000000001" customHeight="1" x14ac:dyDescent="0.25"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28:40" ht="20.100000000000001" customHeight="1" x14ac:dyDescent="0.25"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28:40" ht="20.100000000000001" customHeight="1" x14ac:dyDescent="0.25"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28:40" ht="20.100000000000001" customHeight="1" x14ac:dyDescent="0.25"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28:40" ht="20.100000000000001" customHeight="1" x14ac:dyDescent="0.25"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28:40" ht="20.100000000000001" customHeight="1" x14ac:dyDescent="0.25"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28:40" ht="20.100000000000001" customHeight="1" x14ac:dyDescent="0.25"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28:40" ht="20.100000000000001" customHeight="1" x14ac:dyDescent="0.25"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28:40" ht="20.100000000000001" customHeight="1" x14ac:dyDescent="0.25"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28:40" ht="20.100000000000001" customHeight="1" x14ac:dyDescent="0.25"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28:40" ht="20.100000000000001" customHeight="1" x14ac:dyDescent="0.25"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28:40" ht="20.100000000000001" customHeight="1" x14ac:dyDescent="0.25"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28:40" ht="20.100000000000001" customHeight="1" x14ac:dyDescent="0.25"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28:40" ht="20.100000000000001" customHeight="1" x14ac:dyDescent="0.25"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28:40" ht="20.100000000000001" customHeight="1" x14ac:dyDescent="0.25"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28:40" ht="20.100000000000001" customHeight="1" x14ac:dyDescent="0.25"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28:40" ht="20.100000000000001" customHeight="1" x14ac:dyDescent="0.25"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28:40" ht="20.100000000000001" customHeight="1" x14ac:dyDescent="0.25"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28:40" ht="20.100000000000001" customHeight="1" x14ac:dyDescent="0.25"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28:40" ht="20.100000000000001" customHeight="1" x14ac:dyDescent="0.25"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28:40" ht="20.100000000000001" customHeight="1" x14ac:dyDescent="0.25"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28:40" ht="20.100000000000001" customHeight="1" x14ac:dyDescent="0.25"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28:40" ht="20.100000000000001" customHeight="1" x14ac:dyDescent="0.25"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28:40" ht="20.100000000000001" customHeight="1" x14ac:dyDescent="0.25"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28:40" ht="20.100000000000001" customHeight="1" x14ac:dyDescent="0.25"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28:40" ht="20.100000000000001" customHeight="1" x14ac:dyDescent="0.25"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28:40" ht="20.100000000000001" customHeight="1" x14ac:dyDescent="0.25"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28:40" ht="20.100000000000001" customHeight="1" x14ac:dyDescent="0.25"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28:40" ht="20.100000000000001" customHeight="1" x14ac:dyDescent="0.25"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28:40" ht="20.100000000000001" customHeight="1" x14ac:dyDescent="0.25"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28:40" ht="20.100000000000001" customHeight="1" x14ac:dyDescent="0.25"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28:40" ht="20.100000000000001" customHeight="1" x14ac:dyDescent="0.25"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28:40" ht="20.100000000000001" customHeight="1" x14ac:dyDescent="0.25"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28:40" ht="20.100000000000001" customHeight="1" x14ac:dyDescent="0.25"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28:40" ht="20.100000000000001" customHeight="1" x14ac:dyDescent="0.25"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28:40" ht="20.100000000000001" customHeight="1" x14ac:dyDescent="0.25"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28:40" ht="20.100000000000001" customHeight="1" x14ac:dyDescent="0.25"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28:40" ht="20.100000000000001" customHeight="1" x14ac:dyDescent="0.25"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28:40" ht="20.100000000000001" customHeight="1" x14ac:dyDescent="0.25"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28:40" ht="20.100000000000001" customHeight="1" x14ac:dyDescent="0.25"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28:40" ht="20.100000000000001" customHeight="1" x14ac:dyDescent="0.25"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28:40" ht="20.100000000000001" customHeight="1" x14ac:dyDescent="0.25"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28:40" ht="20.100000000000001" customHeight="1" x14ac:dyDescent="0.25"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28:40" ht="20.100000000000001" customHeight="1" x14ac:dyDescent="0.25"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28:40" ht="20.100000000000001" customHeight="1" x14ac:dyDescent="0.25"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28:40" ht="20.100000000000001" customHeight="1" x14ac:dyDescent="0.25"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28:40" ht="20.100000000000001" customHeight="1" x14ac:dyDescent="0.25"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28:40" ht="20.100000000000001" customHeight="1" x14ac:dyDescent="0.25"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28:40" ht="20.100000000000001" customHeight="1" x14ac:dyDescent="0.25"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28:40" ht="20.100000000000001" customHeight="1" x14ac:dyDescent="0.25"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28:40" ht="20.100000000000001" customHeight="1" x14ac:dyDescent="0.25"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28:40" ht="20.100000000000001" customHeight="1" x14ac:dyDescent="0.25"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28:40" ht="20.100000000000001" customHeight="1" x14ac:dyDescent="0.25"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28:40" ht="20.100000000000001" customHeight="1" x14ac:dyDescent="0.25"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28:40" ht="20.100000000000001" customHeight="1" x14ac:dyDescent="0.25"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28:40" ht="20.100000000000001" customHeight="1" x14ac:dyDescent="0.25"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28:40" ht="20.100000000000001" customHeight="1" x14ac:dyDescent="0.25"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28:40" ht="20.100000000000001" customHeight="1" x14ac:dyDescent="0.25"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28:40" ht="20.100000000000001" customHeight="1" x14ac:dyDescent="0.25"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28:40" ht="20.100000000000001" customHeight="1" x14ac:dyDescent="0.25"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28:40" ht="20.100000000000001" customHeight="1" x14ac:dyDescent="0.25"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28:40" ht="20.100000000000001" customHeight="1" x14ac:dyDescent="0.25"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28:40" ht="20.100000000000001" customHeight="1" x14ac:dyDescent="0.25"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28:40" ht="20.100000000000001" customHeight="1" x14ac:dyDescent="0.25"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28:40" ht="20.100000000000001" customHeight="1" x14ac:dyDescent="0.25"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28:40" ht="20.100000000000001" customHeight="1" x14ac:dyDescent="0.25"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28:40" ht="20.100000000000001" customHeight="1" x14ac:dyDescent="0.25"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28:40" ht="20.100000000000001" customHeight="1" x14ac:dyDescent="0.25"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28:40" ht="20.100000000000001" customHeight="1" x14ac:dyDescent="0.25"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28:40" ht="20.100000000000001" customHeight="1" x14ac:dyDescent="0.25"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28:40" ht="20.100000000000001" customHeight="1" x14ac:dyDescent="0.25"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28:40" ht="20.100000000000001" customHeight="1" x14ac:dyDescent="0.25"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28:40" ht="20.100000000000001" customHeight="1" x14ac:dyDescent="0.25"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28:40" ht="20.100000000000001" customHeight="1" x14ac:dyDescent="0.25"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28:40" ht="20.100000000000001" customHeight="1" x14ac:dyDescent="0.25"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28:40" ht="20.100000000000001" customHeight="1" x14ac:dyDescent="0.25"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28:40" ht="20.100000000000001" customHeight="1" x14ac:dyDescent="0.25"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28:40" ht="20.100000000000001" customHeight="1" x14ac:dyDescent="0.25"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28:40" ht="20.100000000000001" customHeight="1" x14ac:dyDescent="0.25"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28:40" ht="20.100000000000001" customHeight="1" x14ac:dyDescent="0.25"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28:40" ht="20.100000000000001" customHeight="1" x14ac:dyDescent="0.25"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28:40" ht="20.100000000000001" customHeight="1" x14ac:dyDescent="0.25"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28:40" ht="20.100000000000001" customHeight="1" x14ac:dyDescent="0.25"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28:40" ht="20.100000000000001" customHeight="1" x14ac:dyDescent="0.25"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28:40" ht="20.100000000000001" customHeight="1" x14ac:dyDescent="0.25"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28:40" ht="20.100000000000001" customHeight="1" x14ac:dyDescent="0.25"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28:40" ht="20.100000000000001" customHeight="1" x14ac:dyDescent="0.25"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28:40" ht="20.100000000000001" customHeight="1" x14ac:dyDescent="0.25"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28:40" ht="20.100000000000001" customHeight="1" x14ac:dyDescent="0.25"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28:40" ht="20.100000000000001" customHeight="1" x14ac:dyDescent="0.25"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28:40" ht="20.100000000000001" customHeight="1" x14ac:dyDescent="0.25"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28:40" ht="20.100000000000001" customHeight="1" x14ac:dyDescent="0.25"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28:40" ht="20.100000000000001" customHeight="1" x14ac:dyDescent="0.25"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28:40" ht="20.100000000000001" customHeight="1" x14ac:dyDescent="0.25"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28:40" ht="20.100000000000001" customHeight="1" x14ac:dyDescent="0.25"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28:40" ht="20.100000000000001" customHeight="1" x14ac:dyDescent="0.25"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28:40" ht="20.100000000000001" customHeight="1" x14ac:dyDescent="0.25"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28:40" ht="20.100000000000001" customHeight="1" x14ac:dyDescent="0.25"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28:40" ht="20.100000000000001" customHeight="1" x14ac:dyDescent="0.25"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28:40" ht="20.100000000000001" customHeight="1" x14ac:dyDescent="0.25"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28:40" ht="20.100000000000001" customHeight="1" x14ac:dyDescent="0.25"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28:40" ht="20.100000000000001" customHeight="1" x14ac:dyDescent="0.25"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28:40" ht="20.100000000000001" customHeight="1" x14ac:dyDescent="0.25"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28:40" ht="20.100000000000001" customHeight="1" x14ac:dyDescent="0.25"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28:40" ht="20.100000000000001" customHeight="1" x14ac:dyDescent="0.25"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28:40" ht="20.100000000000001" customHeight="1" x14ac:dyDescent="0.25"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28:40" ht="20.100000000000001" customHeight="1" x14ac:dyDescent="0.25"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28:40" ht="20.100000000000001" customHeight="1" x14ac:dyDescent="0.25"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28:40" ht="20.100000000000001" customHeight="1" x14ac:dyDescent="0.25"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28:40" ht="20.100000000000001" customHeight="1" x14ac:dyDescent="0.25"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28:40" ht="20.100000000000001" customHeight="1" x14ac:dyDescent="0.25"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28:40" ht="20.100000000000001" customHeight="1" x14ac:dyDescent="0.25"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28:40" ht="20.100000000000001" customHeight="1" x14ac:dyDescent="0.25"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28:40" ht="20.100000000000001" customHeight="1" x14ac:dyDescent="0.25"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28:40" ht="20.100000000000001" customHeight="1" x14ac:dyDescent="0.25"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28:40" ht="20.100000000000001" customHeight="1" x14ac:dyDescent="0.25"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28:40" ht="20.100000000000001" customHeight="1" x14ac:dyDescent="0.25"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28:40" ht="20.100000000000001" customHeight="1" x14ac:dyDescent="0.25"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28:40" ht="20.100000000000001" customHeight="1" x14ac:dyDescent="0.25"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</sheetData>
  <mergeCells count="21">
    <mergeCell ref="R27:T27"/>
    <mergeCell ref="V2:X2"/>
    <mergeCell ref="D4:F4"/>
    <mergeCell ref="H4:J4"/>
    <mergeCell ref="D7:F7"/>
    <mergeCell ref="H7:J7"/>
    <mergeCell ref="L7:N7"/>
    <mergeCell ref="D2:F2"/>
    <mergeCell ref="H2:J2"/>
    <mergeCell ref="L2:N2"/>
    <mergeCell ref="D5:F5"/>
    <mergeCell ref="H5:J5"/>
    <mergeCell ref="D6:F6"/>
    <mergeCell ref="H6:J6"/>
    <mergeCell ref="L6:N6"/>
    <mergeCell ref="D8:F8"/>
    <mergeCell ref="H8:J8"/>
    <mergeCell ref="L8:N8"/>
    <mergeCell ref="D9:F9"/>
    <mergeCell ref="H9:J9"/>
    <mergeCell ref="L9:N9"/>
  </mergeCells>
  <conditionalFormatting sqref="U42:X42 S42 V27:V28 X27:X28 Z27:Z28 V30:V31 X30:X31 Z30:Z31 S34:AA34 R34:R42 X35:X41 Z35:AA42 V35:V41 T35:T42 T44:T48 R44:R48 Z44:AA48 V44:V48 X44:X48 R31 T31 T28 R27:R28">
    <cfRule type="expression" dxfId="131" priority="68">
      <formula>COUNTA($R$4:$R$20)=0</formula>
    </cfRule>
  </conditionalFormatting>
  <conditionalFormatting sqref="R34:AA34">
    <cfRule type="expression" dxfId="130" priority="67">
      <formula>$R$34=300</formula>
    </cfRule>
  </conditionalFormatting>
  <conditionalFormatting sqref="R44">
    <cfRule type="expression" dxfId="129" priority="66">
      <formula>$R$44=250</formula>
    </cfRule>
  </conditionalFormatting>
  <conditionalFormatting sqref="T44">
    <cfRule type="expression" dxfId="128" priority="65">
      <formula>$T$44=250</formula>
    </cfRule>
  </conditionalFormatting>
  <conditionalFormatting sqref="V44">
    <cfRule type="expression" dxfId="127" priority="64">
      <formula>$V$44=250</formula>
    </cfRule>
  </conditionalFormatting>
  <conditionalFormatting sqref="X44">
    <cfRule type="expression" dxfId="126" priority="63">
      <formula>$X$44=250</formula>
    </cfRule>
  </conditionalFormatting>
  <conditionalFormatting sqref="Z44:AA44">
    <cfRule type="expression" dxfId="125" priority="62">
      <formula>$Z$44=250</formula>
    </cfRule>
  </conditionalFormatting>
  <conditionalFormatting sqref="R28">
    <cfRule type="expression" dxfId="124" priority="61">
      <formula>$R$28=900</formula>
    </cfRule>
  </conditionalFormatting>
  <conditionalFormatting sqref="T28">
    <cfRule type="expression" dxfId="123" priority="60">
      <formula>$T$28=900</formula>
    </cfRule>
  </conditionalFormatting>
  <conditionalFormatting sqref="V30">
    <cfRule type="expression" dxfId="122" priority="59">
      <formula>$V$30=900</formula>
    </cfRule>
  </conditionalFormatting>
  <conditionalFormatting sqref="X30">
    <cfRule type="expression" dxfId="121" priority="58">
      <formula>$X$30=900</formula>
    </cfRule>
  </conditionalFormatting>
  <conditionalFormatting sqref="Z30">
    <cfRule type="expression" dxfId="120" priority="57">
      <formula>$Z$30=900</formula>
    </cfRule>
  </conditionalFormatting>
  <conditionalFormatting sqref="R37">
    <cfRule type="expression" dxfId="119" priority="36">
      <formula>$R$37=300</formula>
    </cfRule>
    <cfRule type="expression" dxfId="118" priority="56">
      <formula>$R$37=1300</formula>
    </cfRule>
  </conditionalFormatting>
  <conditionalFormatting sqref="T37">
    <cfRule type="expression" dxfId="117" priority="35">
      <formula>$T$37=300</formula>
    </cfRule>
    <cfRule type="expression" dxfId="116" priority="55">
      <formula>$T$37=1300</formula>
    </cfRule>
  </conditionalFormatting>
  <conditionalFormatting sqref="V37">
    <cfRule type="expression" dxfId="115" priority="34">
      <formula>$V$37=300</formula>
    </cfRule>
    <cfRule type="expression" dxfId="114" priority="54">
      <formula>$V$37=1300</formula>
    </cfRule>
  </conditionalFormatting>
  <conditionalFormatting sqref="X37">
    <cfRule type="expression" dxfId="113" priority="33">
      <formula>$X$37=300</formula>
    </cfRule>
    <cfRule type="expression" dxfId="112" priority="53">
      <formula>$X$37=1300</formula>
    </cfRule>
  </conditionalFormatting>
  <conditionalFormatting sqref="Z37:AA37">
    <cfRule type="expression" dxfId="111" priority="32">
      <formula>$Z$37=300</formula>
    </cfRule>
    <cfRule type="expression" dxfId="110" priority="52">
      <formula>$Z$37=1300</formula>
    </cfRule>
  </conditionalFormatting>
  <conditionalFormatting sqref="R39">
    <cfRule type="expression" dxfId="109" priority="31">
      <formula>$R$39=300</formula>
    </cfRule>
    <cfRule type="expression" dxfId="108" priority="51">
      <formula>$R$39=2200</formula>
    </cfRule>
  </conditionalFormatting>
  <conditionalFormatting sqref="T39">
    <cfRule type="expression" dxfId="107" priority="30">
      <formula>$T$39=300</formula>
    </cfRule>
    <cfRule type="expression" dxfId="106" priority="50">
      <formula>$T$39=2200</formula>
    </cfRule>
  </conditionalFormatting>
  <conditionalFormatting sqref="V39">
    <cfRule type="expression" dxfId="105" priority="29">
      <formula>$V$39=300</formula>
    </cfRule>
    <cfRule type="expression" dxfId="104" priority="49">
      <formula>$V$39=2200</formula>
    </cfRule>
  </conditionalFormatting>
  <conditionalFormatting sqref="X39">
    <cfRule type="expression" dxfId="103" priority="28">
      <formula>$X$39=300</formula>
    </cfRule>
    <cfRule type="expression" dxfId="102" priority="48">
      <formula>$X$39=2200</formula>
    </cfRule>
  </conditionalFormatting>
  <conditionalFormatting sqref="Z39:AA39">
    <cfRule type="expression" dxfId="101" priority="27">
      <formula>$Z$39=300</formula>
    </cfRule>
    <cfRule type="expression" dxfId="100" priority="47">
      <formula>$Z$39=2200</formula>
    </cfRule>
  </conditionalFormatting>
  <conditionalFormatting sqref="R42">
    <cfRule type="expression" dxfId="99" priority="26">
      <formula>$R$42=300</formula>
    </cfRule>
    <cfRule type="expression" dxfId="98" priority="46">
      <formula>$R$42=2200</formula>
    </cfRule>
  </conditionalFormatting>
  <conditionalFormatting sqref="T42">
    <cfRule type="expression" dxfId="97" priority="25">
      <formula>$T$42=300</formula>
    </cfRule>
    <cfRule type="expression" dxfId="96" priority="45">
      <formula>$T$42=2200</formula>
    </cfRule>
  </conditionalFormatting>
  <conditionalFormatting sqref="V42">
    <cfRule type="expression" dxfId="95" priority="24">
      <formula>$V$42=300</formula>
    </cfRule>
    <cfRule type="expression" dxfId="94" priority="44">
      <formula>$V$42=2200</formula>
    </cfRule>
  </conditionalFormatting>
  <conditionalFormatting sqref="X42">
    <cfRule type="expression" dxfId="93" priority="23">
      <formula>$X$42=300</formula>
    </cfRule>
    <cfRule type="expression" dxfId="92" priority="43">
      <formula>$X$42=2200</formula>
    </cfRule>
  </conditionalFormatting>
  <conditionalFormatting sqref="Z42:AA42">
    <cfRule type="expression" dxfId="91" priority="22">
      <formula>$Z$42=300</formula>
    </cfRule>
    <cfRule type="expression" dxfId="90" priority="42">
      <formula>$Z$42=2200</formula>
    </cfRule>
  </conditionalFormatting>
  <conditionalFormatting sqref="R45">
    <cfRule type="expression" dxfId="89" priority="16">
      <formula>$R$45=550</formula>
    </cfRule>
    <cfRule type="expression" dxfId="88" priority="21">
      <formula>$R$45=850</formula>
    </cfRule>
    <cfRule type="expression" dxfId="87" priority="41">
      <formula>$R$45=3750</formula>
    </cfRule>
  </conditionalFormatting>
  <conditionalFormatting sqref="T45">
    <cfRule type="expression" dxfId="86" priority="15">
      <formula>$T$45=550</formula>
    </cfRule>
    <cfRule type="expression" dxfId="85" priority="20">
      <formula>$T$45=850</formula>
    </cfRule>
    <cfRule type="expression" dxfId="84" priority="40">
      <formula>$T$45=3750</formula>
    </cfRule>
  </conditionalFormatting>
  <conditionalFormatting sqref="V45">
    <cfRule type="expression" dxfId="83" priority="14">
      <formula>$V$45=550</formula>
    </cfRule>
    <cfRule type="expression" dxfId="82" priority="19">
      <formula>$V$45=850</formula>
    </cfRule>
    <cfRule type="expression" dxfId="81" priority="39">
      <formula>$V$45=3750</formula>
    </cfRule>
  </conditionalFormatting>
  <conditionalFormatting sqref="X45">
    <cfRule type="expression" dxfId="80" priority="13">
      <formula>$X$45=550</formula>
    </cfRule>
    <cfRule type="expression" dxfId="79" priority="18">
      <formula>$X$45=850</formula>
    </cfRule>
    <cfRule type="expression" dxfId="78" priority="38">
      <formula>$X$45=3750</formula>
    </cfRule>
  </conditionalFormatting>
  <conditionalFormatting sqref="Z45:AA45">
    <cfRule type="expression" dxfId="77" priority="12">
      <formula>$Z$45=550</formula>
    </cfRule>
    <cfRule type="expression" dxfId="76" priority="17">
      <formula>$Z$45=850</formula>
    </cfRule>
    <cfRule type="expression" dxfId="75" priority="37">
      <formula>$Z$45=3750</formula>
    </cfRule>
  </conditionalFormatting>
  <conditionalFormatting sqref="R47">
    <cfRule type="expression" dxfId="74" priority="8">
      <formula>$R$45/$R$46&lt;=118%</formula>
    </cfRule>
  </conditionalFormatting>
  <conditionalFormatting sqref="T47">
    <cfRule type="expression" dxfId="73" priority="7">
      <formula>$T$45/$T$46&lt;=118%</formula>
    </cfRule>
  </conditionalFormatting>
  <conditionalFormatting sqref="V47">
    <cfRule type="expression" dxfId="72" priority="6">
      <formula>$V$45/$V$46&lt;=118%</formula>
    </cfRule>
  </conditionalFormatting>
  <conditionalFormatting sqref="X47">
    <cfRule type="expression" dxfId="71" priority="5">
      <formula>$X$45/$X$46&lt;=118%</formula>
    </cfRule>
  </conditionalFormatting>
  <conditionalFormatting sqref="Z47:AA47">
    <cfRule type="expression" dxfId="70" priority="4">
      <formula>$Z$45/$Z$46&lt;=118%</formula>
    </cfRule>
  </conditionalFormatting>
  <conditionalFormatting sqref="Z50:AA56 R50:V54 W54:W58 X50:Y54">
    <cfRule type="expression" dxfId="69" priority="70">
      <formula>R50&lt;=$J$11*40%</formula>
    </cfRule>
  </conditionalFormatting>
  <conditionalFormatting sqref="J46">
    <cfRule type="expression" dxfId="68" priority="266">
      <formula>#REF!/$J$41&lt;=40%</formula>
    </cfRule>
  </conditionalFormatting>
  <conditionalFormatting sqref="AD21 AB18 AB20:AB21">
    <cfRule type="expression" dxfId="67" priority="1">
      <formula>COUNTA($R$4:$R$20)=0</formula>
    </cfRule>
  </conditionalFormatting>
  <dataValidations count="3">
    <dataValidation type="list" allowBlank="1" showInputMessage="1" showErrorMessage="1" sqref="T28">
      <formula1>"10, 15, 20, 25, 30"</formula1>
    </dataValidation>
    <dataValidation type="list" allowBlank="1" showInputMessage="1" showErrorMessage="1" sqref="R27">
      <formula1>"Bruxelles 12.5%, Flandre 10%, Flandre 5%, Wallonie 12.5%, Wallonie 6%"</formula1>
    </dataValidation>
    <dataValidation type="list" allowBlank="1" showInputMessage="1" showErrorMessage="1" sqref="B15:B20">
      <formula1>"Hypo, PAT, Ligne de crédit"</formula1>
    </dataValidation>
  </dataValidations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T13:V20 F41:H41 D21:N21 R6:R8 AB22:AD2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  <pageSetUpPr fitToPage="1"/>
  </sheetPr>
  <dimension ref="A2:AM223"/>
  <sheetViews>
    <sheetView showZeros="0" tabSelected="1" topLeftCell="A19" zoomScale="80" zoomScaleNormal="80" zoomScaleSheetLayoutView="100" workbookViewId="0">
      <selection activeCell="L49" sqref="L49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4.140625" style="1" bestFit="1" customWidth="1"/>
    <col min="27" max="27" width="14.140625" style="1" customWidth="1"/>
    <col min="28" max="60" width="15.7109375" style="1" customWidth="1"/>
    <col min="61" max="16384" width="11.42578125" style="1"/>
  </cols>
  <sheetData>
    <row r="2" spans="2:39" ht="30" customHeight="1" x14ac:dyDescent="0.25">
      <c r="B2" s="290" t="s">
        <v>67</v>
      </c>
      <c r="C2" s="7"/>
      <c r="D2" s="291" t="s">
        <v>18</v>
      </c>
      <c r="E2" s="292"/>
      <c r="F2" s="293"/>
      <c r="G2" s="8"/>
      <c r="H2" s="291" t="s">
        <v>19</v>
      </c>
      <c r="I2" s="292"/>
      <c r="J2" s="293"/>
      <c r="K2" s="8"/>
      <c r="L2" s="291" t="s">
        <v>66</v>
      </c>
      <c r="M2" s="292"/>
      <c r="N2" s="293"/>
      <c r="O2" s="8"/>
      <c r="P2" s="294" t="s">
        <v>118</v>
      </c>
      <c r="Q2" s="1"/>
      <c r="R2" s="295" t="s">
        <v>31</v>
      </c>
      <c r="V2" s="280"/>
      <c r="W2" s="281"/>
      <c r="X2" s="281"/>
      <c r="Y2" s="2"/>
      <c r="Z2" s="170"/>
      <c r="AA2" s="170"/>
      <c r="AG2" s="4"/>
      <c r="AH2" s="12" t="s">
        <v>78</v>
      </c>
      <c r="AI2" s="165" t="s">
        <v>79</v>
      </c>
      <c r="AJ2" s="165" t="s">
        <v>80</v>
      </c>
      <c r="AK2" s="165" t="s">
        <v>81</v>
      </c>
      <c r="AL2" s="165" t="s">
        <v>82</v>
      </c>
      <c r="AM2" s="165" t="s">
        <v>74</v>
      </c>
    </row>
    <row r="3" spans="2:39" ht="9.9499999999999993" customHeight="1" x14ac:dyDescent="0.25">
      <c r="B3" s="13"/>
      <c r="C3" s="7"/>
      <c r="D3" s="240"/>
      <c r="E3" s="241"/>
      <c r="F3" s="241"/>
      <c r="G3" s="8"/>
      <c r="H3" s="240"/>
      <c r="I3" s="241"/>
      <c r="J3" s="241"/>
      <c r="K3" s="8"/>
      <c r="L3" s="240"/>
      <c r="M3" s="241"/>
      <c r="N3" s="241"/>
      <c r="O3" s="8"/>
      <c r="Q3" s="1"/>
      <c r="V3" s="2"/>
      <c r="W3" s="2"/>
      <c r="X3" s="2"/>
      <c r="Y3" s="2"/>
      <c r="Z3" s="2"/>
      <c r="AA3" s="2"/>
      <c r="AG3" s="4"/>
      <c r="AH3" s="14"/>
      <c r="AI3" s="14"/>
      <c r="AJ3" s="14"/>
      <c r="AK3" s="14"/>
      <c r="AL3" s="14"/>
      <c r="AM3" s="14"/>
    </row>
    <row r="4" spans="2:39" ht="20.100000000000001" customHeight="1" x14ac:dyDescent="0.25">
      <c r="B4" s="15" t="s">
        <v>4</v>
      </c>
      <c r="C4" s="7"/>
      <c r="D4" s="282">
        <f>Données!D4</f>
        <v>0</v>
      </c>
      <c r="E4" s="296"/>
      <c r="F4" s="297"/>
      <c r="G4" s="8"/>
      <c r="H4" s="282">
        <f>Données!H4</f>
        <v>0</v>
      </c>
      <c r="I4" s="296"/>
      <c r="J4" s="297"/>
      <c r="K4" s="8"/>
      <c r="L4" s="16"/>
      <c r="M4" s="16"/>
      <c r="N4" s="16"/>
      <c r="O4" s="8"/>
      <c r="P4" s="17" t="s">
        <v>44</v>
      </c>
      <c r="Q4" s="7"/>
      <c r="R4" s="18">
        <f>Données!R4</f>
        <v>100000</v>
      </c>
      <c r="V4" s="7"/>
      <c r="W4" s="79"/>
      <c r="X4" s="79"/>
      <c r="Y4" s="2"/>
      <c r="Z4" s="98"/>
      <c r="AA4" s="98"/>
      <c r="AG4" s="4"/>
      <c r="AH4" s="22">
        <v>10</v>
      </c>
      <c r="AI4" s="23">
        <v>3.6499999999999998E-2</v>
      </c>
      <c r="AJ4" s="23">
        <v>3.7499999999999999E-2</v>
      </c>
      <c r="AK4" s="23">
        <v>3.9600000000000003E-2</v>
      </c>
      <c r="AL4" s="23">
        <v>4.41E-2</v>
      </c>
      <c r="AM4" s="23">
        <v>4.1399999999999999E-2</v>
      </c>
    </row>
    <row r="5" spans="2:39" ht="20.100000000000001" customHeight="1" x14ac:dyDescent="0.25">
      <c r="B5" s="24" t="s">
        <v>5</v>
      </c>
      <c r="C5" s="7"/>
      <c r="D5" s="272">
        <f>Données!D5</f>
        <v>0</v>
      </c>
      <c r="E5" s="298"/>
      <c r="F5" s="299"/>
      <c r="G5" s="8"/>
      <c r="H5" s="272">
        <f>Données!H5</f>
        <v>0</v>
      </c>
      <c r="I5" s="298"/>
      <c r="J5" s="299"/>
      <c r="K5" s="8"/>
      <c r="L5" s="16"/>
      <c r="M5" s="16"/>
      <c r="N5" s="16"/>
      <c r="O5" s="8"/>
      <c r="P5" s="25" t="s">
        <v>45</v>
      </c>
      <c r="Q5" s="2"/>
      <c r="R5" s="26">
        <f>Données!R5</f>
        <v>0</v>
      </c>
      <c r="V5" s="116"/>
      <c r="W5" s="79"/>
      <c r="X5" s="79"/>
      <c r="Y5" s="2"/>
      <c r="Z5" s="98"/>
      <c r="AA5" s="98"/>
      <c r="AG5" s="4"/>
      <c r="AH5" s="22">
        <v>15</v>
      </c>
      <c r="AI5" s="23">
        <v>3.8300000000000001E-2</v>
      </c>
      <c r="AJ5" s="23">
        <v>3.8199999999999998E-2</v>
      </c>
      <c r="AK5" s="23">
        <v>4.07E-2</v>
      </c>
      <c r="AL5" s="23">
        <v>4.6399999999999997E-2</v>
      </c>
      <c r="AM5" s="23">
        <v>4.3900000000000002E-2</v>
      </c>
    </row>
    <row r="6" spans="2:39" ht="20.100000000000001" customHeight="1" x14ac:dyDescent="0.25">
      <c r="B6" s="24" t="s">
        <v>20</v>
      </c>
      <c r="C6" s="7"/>
      <c r="D6" s="272">
        <f>Données!D6</f>
        <v>0</v>
      </c>
      <c r="E6" s="298"/>
      <c r="F6" s="299"/>
      <c r="G6" s="8"/>
      <c r="H6" s="272">
        <f>Données!H6</f>
        <v>0</v>
      </c>
      <c r="I6" s="298"/>
      <c r="J6" s="299"/>
      <c r="K6" s="8"/>
      <c r="L6" s="282">
        <f>Données!L6</f>
        <v>0</v>
      </c>
      <c r="M6" s="296"/>
      <c r="N6" s="297"/>
      <c r="O6" s="8"/>
      <c r="P6" s="25" t="s">
        <v>27</v>
      </c>
      <c r="Q6" s="2"/>
      <c r="R6" s="28">
        <f>R5*21%</f>
        <v>0</v>
      </c>
      <c r="V6" s="116"/>
      <c r="W6" s="79"/>
      <c r="X6" s="79"/>
      <c r="Y6" s="2"/>
      <c r="Z6" s="98"/>
      <c r="AA6" s="98"/>
      <c r="AG6" s="4"/>
      <c r="AH6" s="22">
        <v>20</v>
      </c>
      <c r="AI6" s="23">
        <v>4.0500000000000001E-2</v>
      </c>
      <c r="AJ6" s="23">
        <v>0.04</v>
      </c>
      <c r="AK6" s="23">
        <v>4.24E-2</v>
      </c>
      <c r="AL6" s="23">
        <v>4.82E-2</v>
      </c>
      <c r="AM6" s="23">
        <v>4.6800000000000001E-2</v>
      </c>
    </row>
    <row r="7" spans="2:39" ht="20.100000000000001" customHeight="1" x14ac:dyDescent="0.25">
      <c r="B7" s="24" t="s">
        <v>21</v>
      </c>
      <c r="C7" s="4"/>
      <c r="D7" s="272">
        <f>Données!D7</f>
        <v>0</v>
      </c>
      <c r="E7" s="298"/>
      <c r="F7" s="299"/>
      <c r="G7" s="8"/>
      <c r="H7" s="272">
        <f>Données!H7</f>
        <v>0</v>
      </c>
      <c r="I7" s="298"/>
      <c r="J7" s="299"/>
      <c r="K7" s="8"/>
      <c r="L7" s="272">
        <f>Données!L7</f>
        <v>0</v>
      </c>
      <c r="M7" s="298"/>
      <c r="N7" s="299"/>
      <c r="O7" s="8"/>
      <c r="P7" s="30" t="s">
        <v>46</v>
      </c>
      <c r="Q7" s="2"/>
      <c r="R7" s="26">
        <f>R5+R6</f>
        <v>0</v>
      </c>
      <c r="V7" s="116"/>
      <c r="W7" s="79"/>
      <c r="X7" s="79"/>
      <c r="Y7" s="2"/>
      <c r="Z7" s="33"/>
      <c r="AA7" s="33"/>
      <c r="AG7" s="4"/>
      <c r="AH7" s="22">
        <v>25</v>
      </c>
      <c r="AI7" s="23">
        <v>4.1700000000000001E-2</v>
      </c>
      <c r="AJ7" s="23">
        <v>4.1399999999999999E-2</v>
      </c>
      <c r="AK7" s="23">
        <v>4.3700000000000003E-2</v>
      </c>
      <c r="AL7" s="14"/>
      <c r="AM7" s="23">
        <v>4.8599999999999997E-2</v>
      </c>
    </row>
    <row r="8" spans="2:39" ht="20.100000000000001" customHeight="1" x14ac:dyDescent="0.25">
      <c r="B8" s="24" t="s">
        <v>22</v>
      </c>
      <c r="C8" s="7"/>
      <c r="D8" s="272">
        <f>Données!D8</f>
        <v>0</v>
      </c>
      <c r="E8" s="298"/>
      <c r="F8" s="299"/>
      <c r="G8" s="8"/>
      <c r="H8" s="272">
        <f>Données!H8</f>
        <v>0</v>
      </c>
      <c r="I8" s="298"/>
      <c r="J8" s="299"/>
      <c r="K8" s="8"/>
      <c r="L8" s="272">
        <f>Données!L8</f>
        <v>0</v>
      </c>
      <c r="M8" s="298"/>
      <c r="N8" s="299"/>
      <c r="O8" s="8"/>
      <c r="P8" s="187" t="s">
        <v>107</v>
      </c>
      <c r="Q8" s="2"/>
      <c r="R8" s="188">
        <f>R4+R7+J39</f>
        <v>100000</v>
      </c>
      <c r="V8" s="79"/>
      <c r="W8" s="79"/>
      <c r="X8" s="79"/>
      <c r="Y8" s="2"/>
      <c r="Z8" s="33"/>
      <c r="AA8" s="33"/>
      <c r="AB8" s="4"/>
      <c r="AC8" s="4"/>
      <c r="AD8" s="4"/>
      <c r="AE8" s="4"/>
      <c r="AF8" s="4"/>
      <c r="AG8" s="4"/>
      <c r="AH8" s="22">
        <v>30</v>
      </c>
      <c r="AI8" s="14"/>
      <c r="AJ8" s="14"/>
      <c r="AK8" s="14"/>
      <c r="AL8" s="14"/>
      <c r="AM8" s="23">
        <v>5.1200000000000002E-2</v>
      </c>
    </row>
    <row r="9" spans="2:39" ht="20.100000000000001" customHeight="1" x14ac:dyDescent="0.25">
      <c r="B9" s="32" t="s">
        <v>23</v>
      </c>
      <c r="C9" s="7"/>
      <c r="D9" s="300">
        <f>Données!D9</f>
        <v>0</v>
      </c>
      <c r="E9" s="301"/>
      <c r="F9" s="302"/>
      <c r="G9" s="8"/>
      <c r="H9" s="303">
        <f>Données!H9</f>
        <v>0</v>
      </c>
      <c r="I9" s="301"/>
      <c r="J9" s="302"/>
      <c r="K9" s="8"/>
      <c r="L9" s="279">
        <f>Données!L9</f>
        <v>0</v>
      </c>
      <c r="M9" s="301"/>
      <c r="N9" s="302"/>
      <c r="O9" s="33"/>
      <c r="P9" s="79"/>
      <c r="Q9" s="2"/>
      <c r="R9" s="33"/>
      <c r="V9" s="79"/>
      <c r="W9" s="79"/>
      <c r="X9" s="79"/>
      <c r="Y9" s="2"/>
      <c r="Z9" s="33"/>
      <c r="AA9" s="33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7"/>
      <c r="D10" s="16"/>
      <c r="E10" s="35"/>
      <c r="F10" s="35"/>
      <c r="G10" s="33"/>
      <c r="H10" s="16"/>
      <c r="I10" s="35"/>
      <c r="J10" s="35"/>
      <c r="K10" s="33"/>
      <c r="L10" s="16"/>
      <c r="M10" s="16"/>
      <c r="N10" s="16"/>
      <c r="O10" s="8"/>
      <c r="Q10" s="1"/>
      <c r="V10" s="36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304" t="s">
        <v>35</v>
      </c>
      <c r="C11" s="7"/>
      <c r="D11" s="290" t="s">
        <v>40</v>
      </c>
      <c r="E11" s="39"/>
      <c r="F11" s="305" t="s">
        <v>108</v>
      </c>
      <c r="G11" s="8"/>
      <c r="H11" s="295" t="s">
        <v>24</v>
      </c>
      <c r="I11" s="8"/>
      <c r="J11" s="306" t="s">
        <v>37</v>
      </c>
      <c r="K11" s="8"/>
      <c r="L11" s="306" t="s">
        <v>32</v>
      </c>
      <c r="M11" s="8"/>
      <c r="N11" s="306" t="s">
        <v>33</v>
      </c>
      <c r="O11" s="37"/>
      <c r="P11" s="307" t="s">
        <v>119</v>
      </c>
      <c r="Q11" s="2"/>
      <c r="R11" s="290" t="s">
        <v>29</v>
      </c>
      <c r="T11" s="290" t="s">
        <v>27</v>
      </c>
      <c r="V11" s="290" t="s">
        <v>28</v>
      </c>
      <c r="AB11" s="4"/>
      <c r="AC11" s="4"/>
      <c r="AD11" s="4"/>
      <c r="AE11" s="4"/>
      <c r="AF11" s="4"/>
      <c r="AG11" s="4"/>
      <c r="AH11" s="11"/>
      <c r="AI11" s="166"/>
      <c r="AJ11" s="166"/>
      <c r="AK11" s="166"/>
      <c r="AL11" s="166"/>
      <c r="AM11" s="166"/>
    </row>
    <row r="12" spans="2:39" ht="18.75" customHeight="1" x14ac:dyDescent="0.25">
      <c r="B12" s="2"/>
      <c r="C12" s="39"/>
      <c r="D12" s="16"/>
      <c r="E12" s="35"/>
      <c r="F12" s="35"/>
      <c r="G12" s="37"/>
      <c r="H12" s="16"/>
      <c r="I12" s="35"/>
      <c r="J12" s="35"/>
      <c r="K12" s="37"/>
      <c r="L12" s="16"/>
      <c r="M12" s="16"/>
      <c r="N12" s="16"/>
      <c r="O12" s="8"/>
      <c r="P12" s="116"/>
      <c r="Q12" s="2"/>
      <c r="R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294" t="s">
        <v>34</v>
      </c>
      <c r="C13" s="39"/>
      <c r="O13" s="8"/>
      <c r="P13" s="43" t="s">
        <v>54</v>
      </c>
      <c r="Q13" s="44"/>
      <c r="R13" s="18">
        <f>Données!R13</f>
        <v>0</v>
      </c>
      <c r="T13" s="308">
        <f t="shared" ref="T13:T19" si="0">R13*21%</f>
        <v>0</v>
      </c>
      <c r="V13" s="18">
        <f t="shared" ref="V13:V19" si="1">R13+T13</f>
        <v>0</v>
      </c>
      <c r="Z13" s="47"/>
      <c r="AA13" s="47"/>
      <c r="AB13" s="2"/>
      <c r="AC13" s="2"/>
      <c r="AD13" s="2"/>
      <c r="AE13" s="2"/>
      <c r="AF13" s="2"/>
      <c r="AG13" s="2"/>
      <c r="AH13" s="48"/>
      <c r="AI13" s="21"/>
      <c r="AJ13" s="21"/>
      <c r="AK13" s="21"/>
      <c r="AL13" s="21"/>
      <c r="AM13" s="21"/>
    </row>
    <row r="14" spans="2:39" ht="20.100000000000001" customHeight="1" x14ac:dyDescent="0.25">
      <c r="B14" s="69"/>
      <c r="C14" s="39"/>
      <c r="D14" s="72"/>
      <c r="E14" s="8"/>
      <c r="F14" s="37"/>
      <c r="G14" s="8"/>
      <c r="H14" s="8"/>
      <c r="I14" s="8"/>
      <c r="J14" s="8"/>
      <c r="K14" s="8"/>
      <c r="L14" s="8"/>
      <c r="M14" s="8"/>
      <c r="N14" s="8"/>
      <c r="O14" s="8"/>
      <c r="P14" s="52" t="s">
        <v>61</v>
      </c>
      <c r="Q14" s="53"/>
      <c r="R14" s="54">
        <f>Données!R14</f>
        <v>0</v>
      </c>
      <c r="T14" s="28">
        <f t="shared" si="0"/>
        <v>0</v>
      </c>
      <c r="V14" s="26">
        <f t="shared" si="1"/>
        <v>0</v>
      </c>
      <c r="AB14" s="2"/>
      <c r="AC14" s="2"/>
      <c r="AD14" s="2"/>
      <c r="AE14" s="2"/>
      <c r="AF14" s="2"/>
      <c r="AG14" s="2"/>
      <c r="AH14" s="48"/>
      <c r="AI14" s="21"/>
      <c r="AJ14" s="21"/>
      <c r="AK14" s="21"/>
      <c r="AL14" s="21"/>
      <c r="AM14" s="21"/>
    </row>
    <row r="15" spans="2:39" ht="20.100000000000001" customHeight="1" x14ac:dyDescent="0.25">
      <c r="B15" s="250">
        <f>Données!B15</f>
        <v>0</v>
      </c>
      <c r="C15" s="39"/>
      <c r="D15" s="18">
        <f>Données!D15</f>
        <v>0</v>
      </c>
      <c r="E15" s="8"/>
      <c r="F15" s="232">
        <f>Données!F15</f>
        <v>0</v>
      </c>
      <c r="G15" s="8"/>
      <c r="H15" s="58">
        <f>Données!H15</f>
        <v>0</v>
      </c>
      <c r="I15" s="8"/>
      <c r="J15" s="18">
        <f>Données!J15</f>
        <v>0</v>
      </c>
      <c r="K15" s="8"/>
      <c r="L15" s="59">
        <f>Données!L15</f>
        <v>0</v>
      </c>
      <c r="M15" s="8"/>
      <c r="N15" s="18">
        <f>Données!N15</f>
        <v>0</v>
      </c>
      <c r="O15" s="8"/>
      <c r="P15" s="52" t="s">
        <v>55</v>
      </c>
      <c r="Q15" s="53"/>
      <c r="R15" s="54">
        <f>Données!R15</f>
        <v>0</v>
      </c>
      <c r="T15" s="28">
        <f t="shared" si="0"/>
        <v>0</v>
      </c>
      <c r="V15" s="26">
        <f t="shared" si="1"/>
        <v>0</v>
      </c>
      <c r="AB15" s="2"/>
      <c r="AC15" s="2"/>
      <c r="AD15" s="2"/>
      <c r="AE15" s="2"/>
      <c r="AF15" s="2"/>
      <c r="AG15" s="2"/>
      <c r="AH15" s="48"/>
      <c r="AI15" s="21"/>
      <c r="AJ15" s="21"/>
      <c r="AK15" s="21"/>
      <c r="AL15" s="21"/>
      <c r="AM15" s="21"/>
    </row>
    <row r="16" spans="2:39" ht="20.100000000000001" customHeight="1" x14ac:dyDescent="0.25">
      <c r="B16" s="251">
        <f>Données!B16</f>
        <v>0</v>
      </c>
      <c r="C16" s="39"/>
      <c r="D16" s="26">
        <f>Données!D16</f>
        <v>0</v>
      </c>
      <c r="E16" s="8"/>
      <c r="F16" s="233">
        <f>Données!F16</f>
        <v>0</v>
      </c>
      <c r="G16" s="8"/>
      <c r="H16" s="61">
        <f>Données!H16</f>
        <v>0</v>
      </c>
      <c r="I16" s="8"/>
      <c r="J16" s="26">
        <f>Données!J16</f>
        <v>0</v>
      </c>
      <c r="K16" s="8"/>
      <c r="L16" s="62">
        <f>Données!L16</f>
        <v>0</v>
      </c>
      <c r="M16" s="8"/>
      <c r="N16" s="26">
        <f>Données!N16</f>
        <v>0</v>
      </c>
      <c r="O16" s="8"/>
      <c r="P16" s="52" t="s">
        <v>30</v>
      </c>
      <c r="Q16" s="53"/>
      <c r="R16" s="54">
        <f>Données!R16</f>
        <v>0</v>
      </c>
      <c r="T16" s="28">
        <f t="shared" si="0"/>
        <v>0</v>
      </c>
      <c r="V16" s="26">
        <f t="shared" si="1"/>
        <v>0</v>
      </c>
      <c r="AB16" s="2"/>
      <c r="AC16" s="2"/>
      <c r="AD16" s="2"/>
      <c r="AE16" s="2"/>
      <c r="AF16" s="2"/>
      <c r="AG16" s="2"/>
      <c r="AH16" s="48"/>
      <c r="AI16" s="21"/>
      <c r="AJ16" s="21"/>
      <c r="AK16" s="21"/>
      <c r="AL16" s="2"/>
      <c r="AM16" s="21"/>
    </row>
    <row r="17" spans="1:39" ht="20.100000000000001" customHeight="1" x14ac:dyDescent="0.25">
      <c r="B17" s="251">
        <f>Données!B17</f>
        <v>0</v>
      </c>
      <c r="C17" s="39"/>
      <c r="D17" s="26">
        <f>Données!D17</f>
        <v>0</v>
      </c>
      <c r="E17" s="8"/>
      <c r="F17" s="233">
        <f>Données!F17</f>
        <v>0</v>
      </c>
      <c r="G17" s="8"/>
      <c r="H17" s="61">
        <f>Données!H17</f>
        <v>0</v>
      </c>
      <c r="I17" s="8"/>
      <c r="J17" s="26">
        <f>Données!J17</f>
        <v>0</v>
      </c>
      <c r="K17" s="8"/>
      <c r="L17" s="62">
        <f>Données!L17</f>
        <v>0</v>
      </c>
      <c r="M17" s="8"/>
      <c r="N17" s="26">
        <f>Données!N17</f>
        <v>0</v>
      </c>
      <c r="O17" s="8"/>
      <c r="P17" s="63" t="s">
        <v>12</v>
      </c>
      <c r="Q17" s="53"/>
      <c r="R17" s="54">
        <f>Données!R17</f>
        <v>0</v>
      </c>
      <c r="T17" s="28">
        <f t="shared" si="0"/>
        <v>0</v>
      </c>
      <c r="V17" s="26">
        <f t="shared" si="1"/>
        <v>0</v>
      </c>
      <c r="AB17" s="2"/>
      <c r="AC17" s="2"/>
      <c r="AD17" s="2"/>
      <c r="AE17" s="2"/>
      <c r="AF17" s="2"/>
      <c r="AG17" s="2"/>
      <c r="AH17" s="48"/>
      <c r="AI17" s="2"/>
      <c r="AJ17" s="2"/>
      <c r="AK17" s="2"/>
      <c r="AL17" s="2"/>
      <c r="AM17" s="21"/>
    </row>
    <row r="18" spans="1:39" ht="20.100000000000001" customHeight="1" x14ac:dyDescent="0.25">
      <c r="B18" s="251">
        <f>Données!B18</f>
        <v>0</v>
      </c>
      <c r="C18" s="39"/>
      <c r="D18" s="26">
        <f>Données!D18</f>
        <v>0</v>
      </c>
      <c r="E18" s="8"/>
      <c r="F18" s="233">
        <f>Données!F18</f>
        <v>0</v>
      </c>
      <c r="G18" s="8"/>
      <c r="H18" s="61">
        <f>Données!H18</f>
        <v>0</v>
      </c>
      <c r="I18" s="8"/>
      <c r="J18" s="26">
        <f>Données!J18</f>
        <v>0</v>
      </c>
      <c r="K18" s="8"/>
      <c r="L18" s="62">
        <f>Données!L18</f>
        <v>0</v>
      </c>
      <c r="M18" s="8"/>
      <c r="N18" s="26">
        <f>Données!N18</f>
        <v>0</v>
      </c>
      <c r="O18" s="8"/>
      <c r="P18" s="63" t="s">
        <v>56</v>
      </c>
      <c r="Q18" s="53"/>
      <c r="R18" s="54">
        <f>Données!R18</f>
        <v>0</v>
      </c>
      <c r="T18" s="28">
        <f t="shared" si="0"/>
        <v>0</v>
      </c>
      <c r="V18" s="26">
        <f t="shared" si="1"/>
        <v>0</v>
      </c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251">
        <f>Données!B19</f>
        <v>0</v>
      </c>
      <c r="C19" s="39"/>
      <c r="D19" s="26">
        <f>Données!D19</f>
        <v>0</v>
      </c>
      <c r="E19" s="8"/>
      <c r="F19" s="233">
        <f>Données!F19</f>
        <v>0</v>
      </c>
      <c r="G19" s="8"/>
      <c r="H19" s="61">
        <f>Données!H19</f>
        <v>0</v>
      </c>
      <c r="I19" s="8"/>
      <c r="J19" s="26">
        <f>Données!J19</f>
        <v>0</v>
      </c>
      <c r="K19" s="8"/>
      <c r="L19" s="62">
        <f>Données!L19</f>
        <v>0</v>
      </c>
      <c r="M19" s="8"/>
      <c r="N19" s="26">
        <f>Données!N19</f>
        <v>0</v>
      </c>
      <c r="O19" s="8"/>
      <c r="P19" s="181" t="s">
        <v>57</v>
      </c>
      <c r="Q19" s="53"/>
      <c r="R19" s="182">
        <f>Données!R19</f>
        <v>0</v>
      </c>
      <c r="T19" s="309">
        <f t="shared" si="0"/>
        <v>0</v>
      </c>
      <c r="V19" s="26">
        <f t="shared" si="1"/>
        <v>0</v>
      </c>
      <c r="AB19" s="2"/>
      <c r="AC19" s="2"/>
      <c r="AD19" s="2"/>
      <c r="AE19" s="2"/>
      <c r="AF19" s="2"/>
      <c r="AG19" s="2"/>
      <c r="AH19" s="12"/>
      <c r="AI19" s="16"/>
      <c r="AJ19" s="16"/>
      <c r="AK19" s="16"/>
      <c r="AL19" s="16"/>
      <c r="AM19" s="16"/>
    </row>
    <row r="20" spans="1:39" ht="20.100000000000001" customHeight="1" x14ac:dyDescent="0.25">
      <c r="B20" s="252">
        <f>Données!B20</f>
        <v>0</v>
      </c>
      <c r="C20" s="39"/>
      <c r="D20" s="65">
        <f>Données!D20</f>
        <v>0</v>
      </c>
      <c r="E20" s="8"/>
      <c r="F20" s="234">
        <f>Données!F20</f>
        <v>0</v>
      </c>
      <c r="G20" s="8"/>
      <c r="H20" s="66">
        <f>Données!H20</f>
        <v>0</v>
      </c>
      <c r="I20" s="8"/>
      <c r="J20" s="65">
        <f>Données!J20</f>
        <v>0</v>
      </c>
      <c r="K20" s="8"/>
      <c r="L20" s="67">
        <f>Données!L20</f>
        <v>0</v>
      </c>
      <c r="M20" s="8"/>
      <c r="N20" s="65">
        <f>Données!N20</f>
        <v>0</v>
      </c>
      <c r="O20" s="8"/>
      <c r="P20" s="189" t="s">
        <v>10</v>
      </c>
      <c r="Q20" s="53"/>
      <c r="R20" s="29"/>
      <c r="V20" s="188">
        <f>SUM(V13:V19)</f>
        <v>0</v>
      </c>
      <c r="AB20" s="2"/>
      <c r="AC20" s="2"/>
      <c r="AD20" s="2"/>
      <c r="AE20" s="2"/>
      <c r="AF20" s="2"/>
      <c r="AG20" s="2"/>
      <c r="AH20" s="48"/>
      <c r="AI20" s="68"/>
      <c r="AJ20" s="68"/>
      <c r="AK20" s="68"/>
      <c r="AL20" s="68"/>
      <c r="AM20" s="68"/>
    </row>
    <row r="21" spans="1:39" ht="20.100000000000001" customHeight="1" x14ac:dyDescent="0.25">
      <c r="B21" s="69"/>
      <c r="C21" s="39"/>
      <c r="D21" s="310">
        <f>SUM(D15:D20)</f>
        <v>0</v>
      </c>
      <c r="E21" s="8"/>
      <c r="F21" s="37"/>
      <c r="G21" s="8"/>
      <c r="H21" s="8"/>
      <c r="I21" s="8"/>
      <c r="J21" s="311">
        <f>SUM(J15:J20)</f>
        <v>0</v>
      </c>
      <c r="K21" s="8"/>
      <c r="L21" s="8"/>
      <c r="M21" s="8"/>
      <c r="N21" s="311">
        <f>SUM(N15:N20)</f>
        <v>0</v>
      </c>
      <c r="O21" s="8"/>
      <c r="P21" s="73"/>
      <c r="Q21" s="53"/>
      <c r="R21" s="29"/>
      <c r="V21" s="74"/>
      <c r="AB21" s="2"/>
      <c r="AC21" s="2"/>
      <c r="AD21" s="2"/>
      <c r="AE21" s="2"/>
      <c r="AF21" s="2"/>
      <c r="AG21" s="2"/>
      <c r="AH21" s="48"/>
      <c r="AI21" s="68"/>
      <c r="AJ21" s="68"/>
      <c r="AK21" s="68"/>
      <c r="AL21" s="68"/>
      <c r="AM21" s="68"/>
    </row>
    <row r="22" spans="1:39" ht="20.100000000000001" customHeight="1" x14ac:dyDescent="0.25">
      <c r="B22" s="69"/>
      <c r="C22" s="39"/>
      <c r="D22" s="72"/>
      <c r="E22" s="8"/>
      <c r="F22" s="37"/>
      <c r="G22" s="8"/>
      <c r="H22" s="8"/>
      <c r="I22" s="8"/>
      <c r="J22" s="8"/>
      <c r="K22" s="8"/>
      <c r="L22" s="8"/>
      <c r="M22" s="8"/>
      <c r="N22" s="8"/>
      <c r="O22" s="8"/>
      <c r="P22" s="290" t="s">
        <v>3</v>
      </c>
      <c r="Q22" s="1"/>
      <c r="R22" s="312" t="s">
        <v>41</v>
      </c>
      <c r="S22" s="313"/>
      <c r="T22" s="313"/>
      <c r="U22" s="313"/>
      <c r="V22" s="313"/>
      <c r="W22" s="313"/>
      <c r="X22" s="313"/>
      <c r="Y22" s="313"/>
      <c r="Z22" s="314"/>
      <c r="AA22" s="35"/>
      <c r="AB22" s="2"/>
      <c r="AC22" s="2"/>
      <c r="AD22" s="2"/>
      <c r="AE22" s="2"/>
      <c r="AF22" s="2"/>
      <c r="AG22" s="2"/>
      <c r="AH22" s="48"/>
      <c r="AI22" s="68"/>
      <c r="AJ22" s="68"/>
      <c r="AK22" s="68"/>
      <c r="AL22" s="16"/>
      <c r="AM22" s="68"/>
    </row>
    <row r="23" spans="1:39" ht="20.100000000000001" customHeight="1" x14ac:dyDescent="0.25">
      <c r="B23" s="290" t="s">
        <v>120</v>
      </c>
      <c r="C23" s="39"/>
      <c r="F23" s="269" t="s">
        <v>123</v>
      </c>
      <c r="G23" s="270"/>
      <c r="H23" s="271"/>
      <c r="I23" s="8"/>
      <c r="J23" s="315" t="s">
        <v>43</v>
      </c>
      <c r="K23" s="79"/>
      <c r="L23" s="80"/>
      <c r="M23" s="241"/>
      <c r="N23" s="241"/>
      <c r="O23" s="8"/>
      <c r="P23" s="83"/>
      <c r="Q23" s="1"/>
      <c r="R23" s="306" t="s">
        <v>16</v>
      </c>
      <c r="S23" s="33"/>
      <c r="T23" s="306" t="s">
        <v>1</v>
      </c>
      <c r="U23" s="166"/>
      <c r="V23" s="306" t="s">
        <v>1</v>
      </c>
      <c r="W23" s="88"/>
      <c r="X23" s="306" t="s">
        <v>2</v>
      </c>
      <c r="Z23" s="290" t="s">
        <v>2</v>
      </c>
      <c r="AA23" s="240"/>
      <c r="AB23" s="2"/>
      <c r="AC23" s="2"/>
      <c r="AD23" s="2"/>
      <c r="AE23" s="2"/>
      <c r="AF23" s="48"/>
      <c r="AG23" s="68"/>
      <c r="AH23" s="68"/>
      <c r="AI23" s="16"/>
      <c r="AJ23" s="16"/>
      <c r="AK23" s="68"/>
    </row>
    <row r="24" spans="1:39" ht="9.9499999999999993" customHeight="1" x14ac:dyDescent="0.25">
      <c r="B24" s="69"/>
      <c r="C24" s="39"/>
      <c r="D24" s="7"/>
      <c r="E24" s="8"/>
      <c r="F24" s="81"/>
      <c r="G24" s="8"/>
      <c r="H24" s="8"/>
      <c r="I24" s="8"/>
      <c r="J24" s="7"/>
      <c r="K24" s="8"/>
      <c r="L24" s="82"/>
      <c r="M24" s="8"/>
      <c r="N24" s="8"/>
      <c r="O24" s="8"/>
      <c r="Q24" s="1"/>
    </row>
    <row r="25" spans="1:39" ht="20.100000000000001" customHeight="1" x14ac:dyDescent="0.25">
      <c r="B25" s="19" t="s">
        <v>69</v>
      </c>
      <c r="C25" s="84"/>
      <c r="D25" s="239"/>
      <c r="F25" s="18">
        <f>Données!F25</f>
        <v>0</v>
      </c>
      <c r="G25" s="8"/>
      <c r="H25" s="18">
        <f>Données!H25</f>
        <v>0</v>
      </c>
      <c r="I25" s="86"/>
      <c r="J25" s="253">
        <f>(F25+H25)*1.1392</f>
        <v>0</v>
      </c>
      <c r="K25" s="8"/>
      <c r="L25" s="82"/>
      <c r="M25" s="7"/>
      <c r="N25" s="87"/>
      <c r="O25" s="8"/>
      <c r="P25" s="183" t="s">
        <v>62</v>
      </c>
      <c r="Q25" s="1"/>
      <c r="R25" s="93">
        <f>IF($R$8+$Z$8+$V$20=0,"",12.5%)</f>
        <v>0.125</v>
      </c>
      <c r="S25" s="94"/>
      <c r="T25" s="93">
        <f>IF($R$8+$Z$8+$V$20=0,"",12.5%)</f>
        <v>0.125</v>
      </c>
      <c r="U25" s="166"/>
      <c r="V25" s="93">
        <f>IF($R$8+$Z$8+$V$20=0,"",6%)</f>
        <v>0.06</v>
      </c>
      <c r="W25" s="94"/>
      <c r="X25" s="93">
        <f>IF($R$8+$Z$8+$V$20=0,"",10%)</f>
        <v>0.1</v>
      </c>
      <c r="Y25" s="166"/>
      <c r="Z25" s="93">
        <f>IF($R$8+$Z$8+$V$20=0,"",5%)</f>
        <v>0.05</v>
      </c>
      <c r="AA25" s="21"/>
    </row>
    <row r="26" spans="1:39" ht="20.100000000000001" customHeight="1" x14ac:dyDescent="0.25">
      <c r="B26" s="89" t="s">
        <v>70</v>
      </c>
      <c r="C26" s="90"/>
      <c r="D26" s="174"/>
      <c r="F26" s="26">
        <f>Données!F26</f>
        <v>0</v>
      </c>
      <c r="G26" s="86"/>
      <c r="H26" s="26">
        <f>Données!H26</f>
        <v>0</v>
      </c>
      <c r="I26" s="7"/>
      <c r="J26" s="254">
        <f>(F26+H26)*1.1255</f>
        <v>0</v>
      </c>
      <c r="K26" s="8"/>
      <c r="L26" s="82"/>
      <c r="M26" s="7"/>
      <c r="N26" s="87"/>
      <c r="O26" s="8"/>
      <c r="P26" s="184" t="s">
        <v>87</v>
      </c>
      <c r="Q26" s="1"/>
      <c r="R26" s="31">
        <f>IF($R$8+$Z$8+$V$20=0,"",60000)</f>
        <v>60000</v>
      </c>
      <c r="S26" s="94"/>
      <c r="T26" s="96" t="str">
        <f>IF($R$8+$Z$8+$V$20=0,"","non")</f>
        <v>non</v>
      </c>
      <c r="U26" s="166"/>
      <c r="V26" s="96" t="str">
        <f>IF($R$8+$Z$8+$V$20=0,"","non")</f>
        <v>non</v>
      </c>
      <c r="W26" s="94"/>
      <c r="X26" s="31">
        <f>IF($R$8+$Z$8+$V$20=0,"",15000)</f>
        <v>15000</v>
      </c>
      <c r="Y26" s="166"/>
      <c r="Z26" s="31">
        <f>IF($R$8+$Z$8+$V$20=0,"",15000)</f>
        <v>15000</v>
      </c>
      <c r="AA26" s="33"/>
    </row>
    <row r="27" spans="1:39" ht="20.100000000000001" customHeight="1" x14ac:dyDescent="0.25">
      <c r="B27" s="89" t="s">
        <v>73</v>
      </c>
      <c r="C27" s="90"/>
      <c r="D27" s="174"/>
      <c r="F27" s="26">
        <f>Données!F27</f>
        <v>0</v>
      </c>
      <c r="G27" s="7"/>
      <c r="H27" s="26">
        <f>Données!H27</f>
        <v>0</v>
      </c>
      <c r="I27" s="7"/>
      <c r="J27" s="254">
        <f>F27+H27</f>
        <v>0</v>
      </c>
      <c r="K27" s="8"/>
      <c r="L27" s="82"/>
      <c r="M27" s="92"/>
      <c r="N27" s="87"/>
      <c r="O27" s="86"/>
      <c r="P27" s="184" t="s">
        <v>59</v>
      </c>
      <c r="Q27" s="1"/>
      <c r="R27" s="27">
        <f>IF(R4&gt;=60000,(R4-60000)*12.5%,0)</f>
        <v>5000</v>
      </c>
      <c r="S27" s="98"/>
      <c r="T27" s="27">
        <f>SUM(R4+Z8)*12.5%</f>
        <v>12500</v>
      </c>
      <c r="U27" s="33"/>
      <c r="V27" s="27">
        <f>SUM(R4+Z8)*6%</f>
        <v>6000</v>
      </c>
      <c r="W27" s="98"/>
      <c r="X27" s="27">
        <f>IF(R8&gt;=15000,(R4-15000)*10%,0)</f>
        <v>8500</v>
      </c>
      <c r="Y27" s="33"/>
      <c r="Z27" s="27">
        <f>IF(R8&gt;15000,(R4-15000)*5%,0)</f>
        <v>4250</v>
      </c>
      <c r="AA27" s="98"/>
    </row>
    <row r="28" spans="1:39" ht="20.100000000000001" customHeight="1" x14ac:dyDescent="0.25">
      <c r="B28" s="95" t="s">
        <v>52</v>
      </c>
      <c r="C28" s="90"/>
      <c r="D28" s="174"/>
      <c r="F28" s="26">
        <f>Données!F28</f>
        <v>0</v>
      </c>
      <c r="G28" s="92"/>
      <c r="H28" s="26">
        <f>Données!H28</f>
        <v>0</v>
      </c>
      <c r="I28" s="92"/>
      <c r="J28" s="254">
        <f>F28+H28</f>
        <v>0</v>
      </c>
      <c r="K28" s="8"/>
      <c r="L28" s="82"/>
      <c r="M28" s="92"/>
      <c r="N28" s="87"/>
      <c r="O28" s="7"/>
      <c r="P28" s="184" t="s">
        <v>63</v>
      </c>
      <c r="Q28" s="1"/>
      <c r="R28" s="60">
        <f>SUM(Z87:Z93)</f>
        <v>1593.663</v>
      </c>
      <c r="S28" s="37"/>
      <c r="T28" s="60">
        <f>R28</f>
        <v>1593.663</v>
      </c>
      <c r="U28" s="33"/>
      <c r="V28" s="60">
        <f>R28</f>
        <v>1593.663</v>
      </c>
      <c r="W28" s="37"/>
      <c r="X28" s="60">
        <f>R28</f>
        <v>1593.663</v>
      </c>
      <c r="Y28" s="33"/>
      <c r="Z28" s="60">
        <f>R28</f>
        <v>1593.663</v>
      </c>
      <c r="AA28" s="37"/>
    </row>
    <row r="29" spans="1:39" ht="20.100000000000001" customHeight="1" x14ac:dyDescent="0.25">
      <c r="B29" s="95" t="s">
        <v>53</v>
      </c>
      <c r="C29" s="90"/>
      <c r="D29" s="174"/>
      <c r="F29" s="26">
        <f>Données!F29</f>
        <v>0</v>
      </c>
      <c r="G29" s="92"/>
      <c r="H29" s="26">
        <f>Données!H29</f>
        <v>0</v>
      </c>
      <c r="I29" s="92"/>
      <c r="J29" s="254">
        <f>F29+H29</f>
        <v>0</v>
      </c>
      <c r="K29" s="92"/>
      <c r="L29" s="97"/>
      <c r="M29" s="92"/>
      <c r="N29" s="87"/>
      <c r="O29" s="7"/>
      <c r="P29" s="184" t="s">
        <v>11</v>
      </c>
      <c r="Q29" s="1"/>
      <c r="R29" s="31">
        <f>IF($R$8+$Z$8+$V$20=0,"",900)</f>
        <v>900</v>
      </c>
      <c r="S29" s="37"/>
      <c r="T29" s="31">
        <f>IF($R$8+$Z$8+$V$20=0,"",900)</f>
        <v>900</v>
      </c>
      <c r="U29" s="33"/>
      <c r="V29" s="31">
        <f>IF($R$8+$Z$8+$V$20=0,"",900)</f>
        <v>900</v>
      </c>
      <c r="W29" s="37"/>
      <c r="X29" s="31">
        <f>IF($R$8+$Z$8+$V$20=0,"",900)</f>
        <v>900</v>
      </c>
      <c r="Y29" s="33"/>
      <c r="Z29" s="31">
        <f>IF($R$8+$Z$8+$V$20=0,"",900)</f>
        <v>900</v>
      </c>
      <c r="AA29" s="33"/>
    </row>
    <row r="30" spans="1:39" ht="20.100000000000001" customHeight="1" x14ac:dyDescent="0.25">
      <c r="B30" s="95" t="s">
        <v>51</v>
      </c>
      <c r="C30" s="90"/>
      <c r="D30" s="174"/>
      <c r="F30" s="26">
        <f>Données!F30</f>
        <v>0</v>
      </c>
      <c r="G30" s="92"/>
      <c r="H30" s="26">
        <f>Données!H30</f>
        <v>0</v>
      </c>
      <c r="I30" s="92"/>
      <c r="J30" s="254">
        <f>MIN(COUNTA(Données!F30:'Données'!H30)*275,Données!F30+Données!H30)</f>
        <v>0</v>
      </c>
      <c r="K30" s="8"/>
      <c r="L30" s="97"/>
      <c r="M30" s="92"/>
      <c r="N30" s="87"/>
      <c r="O30" s="92"/>
      <c r="P30" s="190" t="s">
        <v>13</v>
      </c>
      <c r="Q30" s="1"/>
      <c r="R30" s="193">
        <f>SUM(R27:R29)</f>
        <v>7493.6630000000005</v>
      </c>
      <c r="S30" s="37"/>
      <c r="T30" s="193">
        <f>SUM(T27:T29)</f>
        <v>14993.663</v>
      </c>
      <c r="U30" s="33"/>
      <c r="V30" s="193">
        <f>SUM(V27:V29)</f>
        <v>8493.6630000000005</v>
      </c>
      <c r="W30" s="37"/>
      <c r="X30" s="193">
        <f>SUM(X27:X29)</f>
        <v>10993.663</v>
      </c>
      <c r="Y30" s="33"/>
      <c r="Z30" s="193">
        <f>SUM(Z27:Z29)</f>
        <v>6743.6630000000005</v>
      </c>
      <c r="AA30" s="212"/>
    </row>
    <row r="31" spans="1:39" ht="20.100000000000001" customHeight="1" x14ac:dyDescent="0.25">
      <c r="A31" s="2"/>
      <c r="B31" s="89" t="s">
        <v>25</v>
      </c>
      <c r="C31" s="90"/>
      <c r="D31" s="174"/>
      <c r="F31" s="26">
        <f>Données!F31</f>
        <v>0</v>
      </c>
      <c r="G31" s="92"/>
      <c r="H31" s="26">
        <f>Données!H31</f>
        <v>0</v>
      </c>
      <c r="I31" s="92"/>
      <c r="J31" s="254">
        <f>MIN(COUNTA(Données!F31:'Données'!H31)*80,Données!F31+Données!H31)</f>
        <v>0</v>
      </c>
      <c r="K31" s="92"/>
      <c r="L31" s="82"/>
      <c r="M31" s="87"/>
      <c r="N31" s="196"/>
      <c r="O31" s="92"/>
      <c r="P31" s="100"/>
      <c r="Q31" s="1"/>
      <c r="R31" s="37"/>
      <c r="S31" s="37"/>
      <c r="T31" s="37"/>
      <c r="U31" s="166"/>
      <c r="V31" s="37"/>
      <c r="W31" s="37"/>
      <c r="X31" s="37"/>
      <c r="Y31" s="101"/>
      <c r="Z31" s="37"/>
      <c r="AA31" s="37"/>
    </row>
    <row r="32" spans="1:39" ht="20.100000000000001" customHeight="1" x14ac:dyDescent="0.25">
      <c r="B32" s="89" t="s">
        <v>39</v>
      </c>
      <c r="C32" s="90"/>
      <c r="D32" s="174"/>
      <c r="F32" s="26">
        <f>Données!F32</f>
        <v>0</v>
      </c>
      <c r="G32" s="92"/>
      <c r="H32" s="26">
        <f>Données!H32</f>
        <v>0</v>
      </c>
      <c r="I32" s="92"/>
      <c r="J32" s="254">
        <f>IF((Données!F32+Données!H32)/2&gt;(J25+J26+J27+J28+J29+J30)*0.2,(J25+J26+J27+J28+J29+J30)*0.2,(Données!F32+Données!H32)/2)</f>
        <v>0</v>
      </c>
      <c r="K32" s="87"/>
      <c r="L32" s="82"/>
      <c r="M32" s="87"/>
      <c r="N32" s="87"/>
      <c r="O32" s="92"/>
      <c r="Q32" s="1"/>
      <c r="R32" s="312" t="s">
        <v>42</v>
      </c>
      <c r="S32" s="316"/>
      <c r="T32" s="316"/>
      <c r="U32" s="316"/>
      <c r="V32" s="316"/>
      <c r="W32" s="316"/>
      <c r="X32" s="316"/>
      <c r="Y32" s="316"/>
      <c r="Z32" s="317"/>
      <c r="AA32" s="241"/>
    </row>
    <row r="33" spans="2:28" ht="20.100000000000001" customHeight="1" x14ac:dyDescent="0.25">
      <c r="B33" s="89" t="s">
        <v>38</v>
      </c>
      <c r="C33" s="90"/>
      <c r="D33" s="174"/>
      <c r="F33" s="231">
        <f>Données!F33</f>
        <v>0</v>
      </c>
      <c r="G33" s="92"/>
      <c r="H33" s="231">
        <f>Données!H33</f>
        <v>0</v>
      </c>
      <c r="I33" s="92"/>
      <c r="J33" s="254">
        <f>IF((Données!F33+Données!H33)*75&gt;(J25+J26+J27+J28+J29+J30)*0.2,(J25+J26+J27+J28+J29+J30)*0.2,(Données!F33+Données!H33)*75)</f>
        <v>0</v>
      </c>
      <c r="K33" s="87"/>
      <c r="L33" s="82"/>
      <c r="M33" s="92"/>
      <c r="N33" s="87"/>
      <c r="O33" s="92"/>
      <c r="P33" s="73"/>
      <c r="Q33" s="1"/>
      <c r="R33" s="33"/>
      <c r="S33" s="37"/>
      <c r="T33" s="33"/>
      <c r="U33" s="102"/>
      <c r="V33" s="33"/>
      <c r="W33" s="37"/>
      <c r="X33" s="33"/>
      <c r="Y33" s="101"/>
      <c r="Z33" s="33"/>
      <c r="AA33" s="33"/>
    </row>
    <row r="34" spans="2:28" ht="20.100000000000001" customHeight="1" x14ac:dyDescent="0.25">
      <c r="B34" s="95" t="s">
        <v>50</v>
      </c>
      <c r="C34" s="90"/>
      <c r="D34" s="174"/>
      <c r="F34" s="26">
        <f>Données!F34</f>
        <v>0</v>
      </c>
      <c r="G34" s="92"/>
      <c r="H34" s="26">
        <f>Données!H34</f>
        <v>0</v>
      </c>
      <c r="I34" s="92"/>
      <c r="J34" s="254">
        <f>(F34+H34)*0.85</f>
        <v>0</v>
      </c>
      <c r="K34" s="8"/>
      <c r="L34" s="82"/>
      <c r="M34" s="92"/>
      <c r="N34" s="87"/>
      <c r="O34" s="92"/>
      <c r="P34" s="185" t="s">
        <v>60</v>
      </c>
      <c r="Q34" s="1"/>
      <c r="R34" s="57">
        <f>(((R4+R7+Z8+V20)*110%*1.3%))+300</f>
        <v>1730.0000000000002</v>
      </c>
      <c r="S34" s="37"/>
      <c r="T34" s="57">
        <f>(((R4+R7+Z8+V20)*110%*1.3%))+300</f>
        <v>1730.0000000000002</v>
      </c>
      <c r="U34" s="37"/>
      <c r="V34" s="57">
        <f>(((R4+R7+Z8+V20)*110%*1.3%))+300</f>
        <v>1730.0000000000002</v>
      </c>
      <c r="W34" s="37"/>
      <c r="X34" s="57">
        <f>(((R4+R7+Z8+V20)*110%*1.3%))+300</f>
        <v>1730.0000000000002</v>
      </c>
      <c r="Y34" s="37"/>
      <c r="Z34" s="57">
        <f>(((R4+R7+Z8+V20)*110%*1.3%))+300</f>
        <v>1730.0000000000002</v>
      </c>
      <c r="AA34" s="37"/>
    </row>
    <row r="35" spans="2:28" ht="20.100000000000001" customHeight="1" x14ac:dyDescent="0.25">
      <c r="B35" s="95" t="s">
        <v>49</v>
      </c>
      <c r="C35" s="90"/>
      <c r="D35" s="174"/>
      <c r="F35" s="26">
        <f>Données!F35</f>
        <v>0</v>
      </c>
      <c r="G35" s="92"/>
      <c r="H35" s="26">
        <f>Données!H35</f>
        <v>0</v>
      </c>
      <c r="I35" s="92"/>
      <c r="J35" s="254">
        <f>(F35+H35)*0.85</f>
        <v>0</v>
      </c>
      <c r="K35" s="8"/>
      <c r="L35" s="82"/>
      <c r="M35" s="92"/>
      <c r="N35" s="87"/>
      <c r="O35" s="92"/>
      <c r="P35" s="186" t="s">
        <v>63</v>
      </c>
      <c r="Q35" s="1"/>
      <c r="R35" s="60">
        <f>SUM(Z95:Z101)</f>
        <v>651.71519999999987</v>
      </c>
      <c r="S35" s="33"/>
      <c r="T35" s="31">
        <f>R35</f>
        <v>651.71519999999987</v>
      </c>
      <c r="U35" s="33"/>
      <c r="V35" s="31">
        <f>R35</f>
        <v>651.71519999999987</v>
      </c>
      <c r="W35" s="33"/>
      <c r="X35" s="31">
        <f>R35</f>
        <v>651.71519999999987</v>
      </c>
      <c r="Y35" s="33"/>
      <c r="Z35" s="31">
        <f>R35</f>
        <v>651.71519999999987</v>
      </c>
      <c r="AA35" s="33"/>
    </row>
    <row r="36" spans="2:28" ht="20.100000000000001" customHeight="1" x14ac:dyDescent="0.25">
      <c r="B36" s="95" t="s">
        <v>111</v>
      </c>
      <c r="C36" s="90"/>
      <c r="D36" s="174"/>
      <c r="F36" s="26">
        <f>Données!F36</f>
        <v>0</v>
      </c>
      <c r="G36" s="92"/>
      <c r="H36" s="26">
        <f>Données!H36</f>
        <v>0</v>
      </c>
      <c r="I36" s="92"/>
      <c r="J36" s="254">
        <f>F36+H36</f>
        <v>0</v>
      </c>
      <c r="K36" s="8"/>
      <c r="L36" s="82"/>
      <c r="M36" s="92"/>
      <c r="N36" s="87"/>
      <c r="O36" s="92"/>
      <c r="P36" s="186" t="s">
        <v>17</v>
      </c>
      <c r="Q36" s="1"/>
      <c r="R36" s="31">
        <f>IF($R$8+$Z$8+$V$20=0,"",1000)</f>
        <v>1000</v>
      </c>
      <c r="S36" s="33"/>
      <c r="T36" s="31">
        <f>R36</f>
        <v>1000</v>
      </c>
      <c r="U36" s="33"/>
      <c r="V36" s="31">
        <f>R36</f>
        <v>1000</v>
      </c>
      <c r="W36" s="33"/>
      <c r="X36" s="31">
        <f>R36</f>
        <v>1000</v>
      </c>
      <c r="Y36" s="33"/>
      <c r="Z36" s="31">
        <f>R36</f>
        <v>1000</v>
      </c>
      <c r="AA36" s="33"/>
    </row>
    <row r="37" spans="2:28" ht="20.100000000000001" customHeight="1" x14ac:dyDescent="0.25">
      <c r="B37" s="95" t="s">
        <v>48</v>
      </c>
      <c r="C37" s="90"/>
      <c r="D37" s="174"/>
      <c r="F37" s="26">
        <f>Données!F37</f>
        <v>0</v>
      </c>
      <c r="G37" s="92"/>
      <c r="H37" s="26">
        <f>Données!H37</f>
        <v>0</v>
      </c>
      <c r="I37" s="92"/>
      <c r="J37" s="255">
        <f>F37+H37</f>
        <v>0</v>
      </c>
      <c r="K37" s="8"/>
      <c r="L37" s="82"/>
      <c r="M37" s="92"/>
      <c r="N37" s="87"/>
      <c r="O37" s="92"/>
      <c r="P37" s="191" t="s">
        <v>14</v>
      </c>
      <c r="Q37" s="1"/>
      <c r="R37" s="194">
        <f>SUM(R34:R36)</f>
        <v>3381.7152000000001</v>
      </c>
      <c r="S37" s="33"/>
      <c r="T37" s="194">
        <f>R37</f>
        <v>3381.7152000000001</v>
      </c>
      <c r="U37" s="33"/>
      <c r="V37" s="194">
        <f>R37</f>
        <v>3381.7152000000001</v>
      </c>
      <c r="W37" s="33"/>
      <c r="X37" s="194">
        <f>R37</f>
        <v>3381.7152000000001</v>
      </c>
      <c r="Y37" s="33"/>
      <c r="Z37" s="194">
        <f>R37</f>
        <v>3381.7152000000001</v>
      </c>
      <c r="AA37" s="213"/>
    </row>
    <row r="38" spans="2:28" ht="20.100000000000001" customHeight="1" x14ac:dyDescent="0.25">
      <c r="B38" s="95" t="s">
        <v>124</v>
      </c>
      <c r="C38" s="90"/>
      <c r="D38" s="174"/>
      <c r="F38" s="26">
        <f>Données!F38</f>
        <v>0</v>
      </c>
      <c r="G38" s="92"/>
      <c r="H38" s="26">
        <f>Données!H38</f>
        <v>0</v>
      </c>
      <c r="I38" s="92"/>
      <c r="J38" s="255">
        <f>F38+H38</f>
        <v>0</v>
      </c>
      <c r="K38" s="8"/>
      <c r="L38" s="82"/>
      <c r="M38" s="92"/>
      <c r="N38" s="87"/>
      <c r="O38" s="92"/>
      <c r="P38" s="104"/>
      <c r="Q38" s="1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2:28" ht="20.100000000000001" customHeight="1" x14ac:dyDescent="0.25">
      <c r="B39" s="95" t="s">
        <v>71</v>
      </c>
      <c r="C39" s="90"/>
      <c r="D39" s="174"/>
      <c r="F39" s="26">
        <f>Données!F39</f>
        <v>0</v>
      </c>
      <c r="G39" s="92"/>
      <c r="H39" s="26">
        <f>Données!H39</f>
        <v>0</v>
      </c>
      <c r="I39" s="92"/>
      <c r="J39" s="255">
        <f>F39+H39</f>
        <v>0</v>
      </c>
      <c r="K39" s="8"/>
      <c r="L39" s="82"/>
      <c r="M39" s="92"/>
      <c r="N39" s="87"/>
      <c r="O39" s="92"/>
      <c r="P39" s="173" t="s">
        <v>64</v>
      </c>
      <c r="Q39" s="1"/>
      <c r="R39" s="57">
        <f>R37+R30</f>
        <v>10875.378200000001</v>
      </c>
      <c r="S39" s="33"/>
      <c r="T39" s="57">
        <f>T37+T30</f>
        <v>18375.378199999999</v>
      </c>
      <c r="U39" s="33"/>
      <c r="V39" s="57">
        <f>V37+V30</f>
        <v>11875.378200000001</v>
      </c>
      <c r="W39" s="33"/>
      <c r="X39" s="57">
        <f>X37+X30</f>
        <v>14375.378200000001</v>
      </c>
      <c r="Y39" s="33"/>
      <c r="Z39" s="57">
        <f>Z37+Z30</f>
        <v>10125.378200000001</v>
      </c>
      <c r="AA39" s="37"/>
    </row>
    <row r="40" spans="2:28" ht="20.100000000000001" customHeight="1" x14ac:dyDescent="0.25">
      <c r="B40" s="176" t="s">
        <v>26</v>
      </c>
      <c r="C40" s="177"/>
      <c r="D40" s="318"/>
      <c r="F40" s="65">
        <f>Données!F40</f>
        <v>0</v>
      </c>
      <c r="G40" s="92"/>
      <c r="H40" s="65">
        <f>Données!H40</f>
        <v>0</v>
      </c>
      <c r="I40" s="92"/>
      <c r="J40" s="256">
        <f>F40+H40</f>
        <v>0</v>
      </c>
      <c r="K40" s="8"/>
      <c r="L40" s="82"/>
      <c r="M40" s="92"/>
      <c r="N40" s="103"/>
      <c r="O40" s="92"/>
      <c r="P40" s="63" t="s">
        <v>98</v>
      </c>
      <c r="Q40" s="1"/>
      <c r="R40" s="60">
        <f>R8+V20+Z8</f>
        <v>100000</v>
      </c>
      <c r="S40" s="33"/>
      <c r="T40" s="31">
        <f>R8+V20+Z8</f>
        <v>100000</v>
      </c>
      <c r="U40" s="33"/>
      <c r="V40" s="31">
        <f>R8+Z8+V20</f>
        <v>100000</v>
      </c>
      <c r="W40" s="33"/>
      <c r="X40" s="31">
        <f>R8+V20+Z8</f>
        <v>100000</v>
      </c>
      <c r="Y40" s="33"/>
      <c r="Z40" s="31">
        <f>R8+V20+Z8</f>
        <v>100000</v>
      </c>
      <c r="AA40" s="33"/>
    </row>
    <row r="41" spans="2:28" ht="20.100000000000001" customHeight="1" x14ac:dyDescent="0.25">
      <c r="B41" s="192" t="s">
        <v>72</v>
      </c>
      <c r="C41" s="179"/>
      <c r="D41" s="319"/>
      <c r="F41" s="34">
        <f>SUM(F25:F34)-F37-F38-F39-F40</f>
        <v>0</v>
      </c>
      <c r="G41" s="92"/>
      <c r="H41" s="34">
        <f>SUM(H25:H34)-H37-H38-H39-H40</f>
        <v>0</v>
      </c>
      <c r="I41" s="92"/>
      <c r="J41" s="188">
        <f>SUM(J25:J36)</f>
        <v>0</v>
      </c>
      <c r="K41" s="105"/>
      <c r="L41" s="82"/>
      <c r="M41" s="92"/>
      <c r="N41" s="87"/>
      <c r="O41" s="92"/>
      <c r="P41" s="30" t="s">
        <v>58</v>
      </c>
      <c r="Q41" s="1"/>
      <c r="R41" s="171">
        <f>J46</f>
        <v>0</v>
      </c>
      <c r="S41" s="33"/>
      <c r="T41" s="172">
        <f>J46</f>
        <v>0</v>
      </c>
      <c r="U41" s="33"/>
      <c r="V41" s="172">
        <f>J46</f>
        <v>0</v>
      </c>
      <c r="W41" s="33"/>
      <c r="X41" s="172">
        <f>J46</f>
        <v>0</v>
      </c>
      <c r="Y41" s="33"/>
      <c r="Z41" s="172">
        <f>J46</f>
        <v>0</v>
      </c>
      <c r="AA41" s="33"/>
    </row>
    <row r="42" spans="2:28" ht="20.100000000000001" customHeight="1" x14ac:dyDescent="0.25">
      <c r="B42" s="4"/>
      <c r="D42" s="103"/>
      <c r="E42" s="92"/>
      <c r="F42" s="103"/>
      <c r="G42" s="92"/>
      <c r="H42" s="103"/>
      <c r="I42" s="92"/>
      <c r="J42" s="103"/>
      <c r="K42" s="92"/>
      <c r="L42" s="107"/>
      <c r="M42" s="92"/>
      <c r="N42" s="87"/>
      <c r="O42" s="92"/>
      <c r="P42" s="191" t="s">
        <v>97</v>
      </c>
      <c r="Q42" s="1"/>
      <c r="R42" s="193">
        <f>SUM(R39:R40)-J46</f>
        <v>110875.37820000001</v>
      </c>
      <c r="S42" s="37"/>
      <c r="T42" s="193">
        <f>SUM(T39:T40)-J46</f>
        <v>118375.37820000001</v>
      </c>
      <c r="U42" s="37"/>
      <c r="V42" s="193">
        <f>SUM(V39:V40)-J46</f>
        <v>111875.37820000001</v>
      </c>
      <c r="W42" s="37"/>
      <c r="X42" s="193">
        <f>SUM(X39:X40)-J46</f>
        <v>114375.37820000001</v>
      </c>
      <c r="Y42" s="33"/>
      <c r="Z42" s="193">
        <f>SUM(Z39:Z40)-J46</f>
        <v>110125.37820000001</v>
      </c>
      <c r="AA42" s="212"/>
    </row>
    <row r="43" spans="2:28" ht="20.100000000000001" customHeight="1" x14ac:dyDescent="0.25">
      <c r="B43" s="109" t="s">
        <v>90</v>
      </c>
      <c r="C43" s="84"/>
      <c r="D43" s="110"/>
      <c r="E43" s="92"/>
      <c r="F43" s="103"/>
      <c r="G43" s="92"/>
      <c r="H43" s="103"/>
      <c r="I43" s="92"/>
      <c r="J43" s="267">
        <f>J41*40%</f>
        <v>0</v>
      </c>
      <c r="K43" s="92"/>
      <c r="L43" s="107"/>
      <c r="M43" s="92"/>
      <c r="N43" s="87"/>
      <c r="O43" s="92"/>
      <c r="P43" s="2"/>
      <c r="Q43" s="16"/>
      <c r="T43" s="33"/>
      <c r="U43" s="33"/>
      <c r="V43" s="33"/>
      <c r="W43" s="33"/>
      <c r="X43" s="33"/>
      <c r="Y43" s="33"/>
      <c r="Z43" s="33"/>
      <c r="AA43" s="33"/>
    </row>
    <row r="44" spans="2:28" ht="20.100000000000001" customHeight="1" x14ac:dyDescent="0.25">
      <c r="B44" s="320" t="s">
        <v>91</v>
      </c>
      <c r="C44" s="90"/>
      <c r="D44" s="174"/>
      <c r="J44" s="26">
        <f>J41-J48</f>
        <v>-710.00152393711403</v>
      </c>
      <c r="K44" s="92"/>
      <c r="L44" s="80"/>
      <c r="O44" s="92"/>
      <c r="P44" s="162" t="s">
        <v>89</v>
      </c>
      <c r="Q44" s="1"/>
      <c r="R44" s="20">
        <f>IF(R42&lt;=R46,MAX(250,MIN(1500,R42*0.5%)),IF(R42&gt;R46,MAX(250,MIN(3500,R42*2%))))</f>
        <v>2217.507564</v>
      </c>
      <c r="S44" s="98"/>
      <c r="T44" s="20">
        <f>IF(T42&lt;=T46,MAX(250,MIN(1500,T42*0.5%)),IF(T42&gt;T46,MAX(250,MIN(3500,T42*2%))))</f>
        <v>2367.507564</v>
      </c>
      <c r="U44" s="98"/>
      <c r="V44" s="20">
        <f>IF(V42&lt;=V46,MAX(250,MIN(1500,V42*0.5%)),IF(V42&gt;V46,MAX(250,MIN(3500,V42*2%))))</f>
        <v>2237.507564</v>
      </c>
      <c r="W44" s="98"/>
      <c r="X44" s="20">
        <f>IF(X42&lt;=X46,MAX(250,MIN(1500,X42*0.5%)),IF(X42&gt;X46,MAX(250,MIN(3500,X42*2%))))</f>
        <v>2287.507564</v>
      </c>
      <c r="Y44" s="33"/>
      <c r="Z44" s="20">
        <f>IF(Z42&lt;=Z46,MAX(250,MIN(1500,Z42*0.5%)),IF(Z42&gt;Z46,MAX(250,MIN(3500,Z42*2%))))</f>
        <v>2202.507564</v>
      </c>
      <c r="AA44" s="98"/>
      <c r="AB44" s="33"/>
    </row>
    <row r="45" spans="2:28" ht="20.100000000000001" customHeight="1" x14ac:dyDescent="0.25">
      <c r="B45" s="175" t="s">
        <v>106</v>
      </c>
      <c r="C45" s="90"/>
      <c r="D45" s="174"/>
      <c r="J45" s="204" t="e">
        <f>J48/J41</f>
        <v>#DIV/0!</v>
      </c>
      <c r="O45" s="92"/>
      <c r="P45" s="195" t="s">
        <v>65</v>
      </c>
      <c r="Q45" s="1"/>
      <c r="R45" s="325">
        <f>R42+R44</f>
        <v>113092.88576400001</v>
      </c>
      <c r="S45" s="37"/>
      <c r="T45" s="325">
        <f>T44+T42</f>
        <v>120742.88576400001</v>
      </c>
      <c r="U45" s="37"/>
      <c r="V45" s="325">
        <f>V44+V42</f>
        <v>114112.88576400001</v>
      </c>
      <c r="W45" s="37"/>
      <c r="X45" s="325">
        <f>X44+X42</f>
        <v>116662.88576400001</v>
      </c>
      <c r="Y45" s="33"/>
      <c r="Z45" s="325">
        <f>Z44+Z42</f>
        <v>112327.88576400001</v>
      </c>
      <c r="AA45" s="212"/>
    </row>
    <row r="46" spans="2:28" ht="20.100000000000001" customHeight="1" x14ac:dyDescent="0.25">
      <c r="B46" s="95" t="s">
        <v>58</v>
      </c>
      <c r="C46" s="90"/>
      <c r="D46" s="174"/>
      <c r="J46" s="26">
        <f>Données!H43</f>
        <v>0</v>
      </c>
      <c r="O46" s="92"/>
      <c r="P46" s="163" t="s">
        <v>112</v>
      </c>
      <c r="Q46" s="1"/>
      <c r="R46" s="60">
        <f>R4+Z4+V13+V14+V15+V16+J47</f>
        <v>100000</v>
      </c>
      <c r="S46" s="33"/>
      <c r="T46" s="31">
        <f>R4+Z4+V13+V14+V15+V16+J47</f>
        <v>100000</v>
      </c>
      <c r="U46" s="33"/>
      <c r="V46" s="31">
        <f>R4+Z4+V13+V14+V15+V16+J47</f>
        <v>100000</v>
      </c>
      <c r="W46" s="33"/>
      <c r="X46" s="31">
        <f>R4+Z4+V13+V14+V15+V16+J47</f>
        <v>100000</v>
      </c>
      <c r="Y46" s="33"/>
      <c r="Z46" s="31">
        <f>R4+Z4+V13+V14+V15+V16+J47</f>
        <v>100000</v>
      </c>
      <c r="AA46" s="33"/>
    </row>
    <row r="47" spans="2:28" ht="20.100000000000001" customHeight="1" x14ac:dyDescent="0.25">
      <c r="B47" s="257" t="s">
        <v>112</v>
      </c>
      <c r="C47" s="90"/>
      <c r="D47" s="174"/>
      <c r="J47" s="268">
        <f>Données!H44</f>
        <v>0</v>
      </c>
      <c r="O47" s="92"/>
      <c r="P47" s="164" t="s">
        <v>96</v>
      </c>
      <c r="Q47" s="1"/>
      <c r="R47" s="205">
        <f>IF(R46=0,0,R45/R46)</f>
        <v>1.1309288576400001</v>
      </c>
      <c r="S47" s="37"/>
      <c r="T47" s="205">
        <f>IF(T46=0,0,T45/T46)</f>
        <v>1.2074288576400001</v>
      </c>
      <c r="U47" s="37"/>
      <c r="V47" s="205">
        <f>IF(V46=0,0,V45/V46)</f>
        <v>1.14112885764</v>
      </c>
      <c r="W47" s="37"/>
      <c r="X47" s="205">
        <f>IF(X46=0,0,X45/X46)</f>
        <v>1.1666288576400001</v>
      </c>
      <c r="Y47" s="33"/>
      <c r="Z47" s="205">
        <f>IF(Z46=0,0,Z45/Z46)</f>
        <v>1.1232788576400001</v>
      </c>
      <c r="AA47" s="111"/>
    </row>
    <row r="48" spans="2:28" ht="20.100000000000001" customHeight="1" x14ac:dyDescent="0.25">
      <c r="B48" s="321" t="s">
        <v>122</v>
      </c>
      <c r="C48" s="260"/>
      <c r="D48" s="262"/>
      <c r="E48" s="92"/>
      <c r="F48" s="87"/>
      <c r="G48" s="92"/>
      <c r="H48" s="87"/>
      <c r="I48" s="92"/>
      <c r="J48" s="65">
        <f>Données!H45+X52</f>
        <v>710.00152393711403</v>
      </c>
      <c r="K48" s="92"/>
      <c r="L48" s="87"/>
      <c r="M48" s="166"/>
      <c r="N48" s="166"/>
      <c r="O48" s="92"/>
      <c r="P48" s="83"/>
      <c r="Q48" s="112"/>
      <c r="R48" s="111"/>
      <c r="S48" s="113"/>
      <c r="T48" s="111"/>
      <c r="U48" s="114"/>
      <c r="V48" s="111"/>
      <c r="W48" s="114"/>
      <c r="X48" s="111"/>
      <c r="Y48" s="114"/>
      <c r="Z48" s="111"/>
      <c r="AA48" s="111"/>
    </row>
    <row r="49" spans="2:37" ht="20.100000000000001" customHeight="1" x14ac:dyDescent="0.25">
      <c r="B49" s="2"/>
      <c r="D49" s="87"/>
      <c r="E49" s="92"/>
      <c r="F49" s="87"/>
      <c r="G49" s="92"/>
      <c r="H49" s="87"/>
      <c r="I49" s="92"/>
      <c r="J49" s="87"/>
      <c r="K49" s="92"/>
      <c r="L49" s="87"/>
      <c r="M49" s="166"/>
      <c r="N49" s="166"/>
      <c r="O49" s="92"/>
      <c r="P49" s="83"/>
      <c r="Q49" s="112"/>
      <c r="R49" s="111"/>
      <c r="S49" s="113"/>
      <c r="T49" s="111"/>
      <c r="U49" s="114"/>
      <c r="V49" s="111"/>
      <c r="W49" s="114"/>
      <c r="X49" s="111"/>
      <c r="Y49" s="114"/>
      <c r="Z49" s="111"/>
      <c r="AA49" s="111"/>
      <c r="AB49" s="115"/>
    </row>
    <row r="50" spans="2:37" ht="20.100000000000001" customHeight="1" x14ac:dyDescent="0.25">
      <c r="B50" s="15" t="s">
        <v>110</v>
      </c>
      <c r="C50" s="24"/>
      <c r="D50" s="326"/>
      <c r="E50" s="92"/>
      <c r="F50" s="87"/>
      <c r="G50" s="92"/>
      <c r="H50" s="87"/>
      <c r="I50" s="92"/>
      <c r="J50" s="87"/>
      <c r="K50" s="92"/>
      <c r="L50" s="87"/>
      <c r="M50" s="166"/>
      <c r="N50" s="166"/>
      <c r="O50" s="92"/>
      <c r="P50" s="83"/>
      <c r="Q50" s="112"/>
      <c r="R50" s="111"/>
      <c r="S50" s="113"/>
      <c r="T50" s="111"/>
      <c r="U50" s="114"/>
      <c r="V50" s="111"/>
      <c r="W50" s="114"/>
      <c r="X50" s="111"/>
      <c r="Y50" s="114"/>
      <c r="Z50" s="111"/>
      <c r="AA50" s="111"/>
      <c r="AB50" s="37"/>
      <c r="AC50" s="145"/>
      <c r="AD50" s="145"/>
      <c r="AE50" s="145"/>
    </row>
    <row r="51" spans="2:37" ht="20.100000000000001" customHeight="1" x14ac:dyDescent="0.25">
      <c r="B51" s="322" t="s">
        <v>114</v>
      </c>
      <c r="C51" s="323"/>
      <c r="D51" s="244"/>
      <c r="E51" s="2"/>
      <c r="F51" s="217"/>
      <c r="I51" s="147"/>
      <c r="L51" s="288" t="s">
        <v>95</v>
      </c>
      <c r="M51" s="324"/>
      <c r="O51" s="116"/>
      <c r="P51" s="117" t="s">
        <v>88</v>
      </c>
      <c r="Q51" s="116"/>
      <c r="R51" s="242">
        <f>Données!T28</f>
        <v>20</v>
      </c>
      <c r="S51" s="116"/>
      <c r="T51" s="83"/>
      <c r="U51" s="116"/>
      <c r="V51" s="202" t="s">
        <v>104</v>
      </c>
      <c r="W51" s="116"/>
      <c r="X51" s="117">
        <f>R51*12</f>
        <v>240</v>
      </c>
      <c r="Y51" s="116"/>
      <c r="Z51" s="117" t="s">
        <v>83</v>
      </c>
      <c r="AA51" s="114"/>
      <c r="AF51" s="111"/>
      <c r="AG51" s="111"/>
    </row>
    <row r="52" spans="2:37" ht="20.100000000000001" customHeight="1" x14ac:dyDescent="0.25">
      <c r="G52" s="106" t="s">
        <v>77</v>
      </c>
      <c r="H52" s="148"/>
      <c r="I52" s="149"/>
      <c r="J52" s="207"/>
      <c r="L52" s="210" t="s">
        <v>93</v>
      </c>
      <c r="M52" s="208"/>
      <c r="N52" s="207"/>
      <c r="O52" s="145"/>
      <c r="P52" s="150">
        <f>INDEX(Données!AB4:AD7,MATCH(Données!T28,Données!AA4:AA7,0),MATCH(L51,Données!AB2:AD2,0))</f>
        <v>4.41E-2</v>
      </c>
      <c r="Q52" s="116"/>
      <c r="R52" s="173" t="s">
        <v>92</v>
      </c>
      <c r="S52" s="116"/>
      <c r="T52" s="151">
        <f>NOMINAL(P52,12)/12</f>
        <v>3.6027468730472911E-3</v>
      </c>
      <c r="U52" s="116"/>
      <c r="V52" s="173" t="s">
        <v>36</v>
      </c>
      <c r="W52" s="118"/>
      <c r="X52" s="263">
        <f>-PMT(P52/12,Données!T28*12,R45,1)</f>
        <v>710.00152393711403</v>
      </c>
      <c r="Y52" s="118"/>
      <c r="Z52" s="20">
        <f>X52*X51</f>
        <v>170400.36574490738</v>
      </c>
      <c r="AA52" s="114"/>
      <c r="AF52" s="111"/>
      <c r="AG52" s="111"/>
    </row>
    <row r="53" spans="2:37" ht="20.100000000000001" customHeight="1" x14ac:dyDescent="0.25">
      <c r="G53" s="160" t="s">
        <v>103</v>
      </c>
      <c r="H53" s="152"/>
      <c r="I53" s="153"/>
      <c r="J53" s="206"/>
      <c r="L53" s="154" t="s">
        <v>94</v>
      </c>
      <c r="M53" s="209"/>
      <c r="N53" s="206"/>
      <c r="O53" s="145"/>
      <c r="P53" s="156">
        <f>RATE(X51,-X53,R45)*12</f>
        <v>7.2825232822713235E-2</v>
      </c>
      <c r="Q53" s="116"/>
      <c r="R53" s="203" t="s">
        <v>92</v>
      </c>
      <c r="S53" s="116"/>
      <c r="T53" s="157">
        <f>T52+0.2466%</f>
        <v>6.0687468730472914E-3</v>
      </c>
      <c r="U53" s="116"/>
      <c r="V53" s="203" t="s">
        <v>105</v>
      </c>
      <c r="W53" s="118"/>
      <c r="X53" s="265">
        <f>-PMT(T53,Données!T28*12,R45,1)</f>
        <v>896.08893646163619</v>
      </c>
      <c r="Y53" s="118"/>
      <c r="Z53" s="264">
        <f>X53*X51</f>
        <v>215061.34475079269</v>
      </c>
      <c r="AA53" s="114"/>
      <c r="AF53" s="111"/>
      <c r="AG53" s="111"/>
    </row>
    <row r="54" spans="2:37" ht="20.100000000000001" customHeight="1" x14ac:dyDescent="0.25">
      <c r="G54" s="79"/>
      <c r="H54" s="79"/>
      <c r="K54" s="79"/>
      <c r="L54" s="79"/>
      <c r="P54" s="79"/>
      <c r="Q54" s="79"/>
      <c r="R54" s="35"/>
      <c r="S54" s="79"/>
      <c r="T54" s="35"/>
      <c r="U54" s="79"/>
      <c r="V54" s="79"/>
      <c r="W54" s="79"/>
      <c r="X54" s="79"/>
      <c r="Y54" s="79"/>
      <c r="Z54" s="79"/>
      <c r="AA54" s="114"/>
      <c r="AF54" s="111"/>
      <c r="AG54" s="111"/>
    </row>
    <row r="55" spans="2:37" ht="20.100000000000001" customHeight="1" x14ac:dyDescent="0.25">
      <c r="G55" s="79"/>
      <c r="H55" s="79"/>
      <c r="K55" s="79"/>
      <c r="L55" s="79"/>
      <c r="P55" s="79"/>
      <c r="Q55" s="79"/>
      <c r="R55" s="35"/>
      <c r="S55" s="79"/>
      <c r="T55" s="35"/>
      <c r="U55" s="79"/>
      <c r="V55" s="79"/>
      <c r="W55" s="79"/>
      <c r="X55" s="79"/>
      <c r="Y55" s="79"/>
      <c r="Z55" s="79"/>
      <c r="AA55" s="114"/>
      <c r="AF55" s="111"/>
      <c r="AG55" s="111"/>
    </row>
    <row r="56" spans="2:37" ht="20.100000000000001" customHeight="1" x14ac:dyDescent="0.25">
      <c r="I56" s="147"/>
      <c r="L56" s="288" t="s">
        <v>99</v>
      </c>
      <c r="M56" s="324"/>
      <c r="O56" s="116"/>
      <c r="P56" s="117" t="s">
        <v>88</v>
      </c>
      <c r="Q56" s="116"/>
      <c r="R56" s="242">
        <f>Données!T28</f>
        <v>20</v>
      </c>
      <c r="S56" s="116"/>
      <c r="T56" s="83"/>
      <c r="U56" s="116"/>
      <c r="V56" s="202" t="s">
        <v>104</v>
      </c>
      <c r="W56" s="116"/>
      <c r="X56" s="117">
        <f>R56*12</f>
        <v>240</v>
      </c>
      <c r="Y56" s="116"/>
      <c r="Z56" s="117" t="s">
        <v>83</v>
      </c>
      <c r="AA56" s="114"/>
      <c r="AF56" s="111"/>
      <c r="AG56" s="111"/>
      <c r="AH56" s="211"/>
      <c r="AI56" s="21"/>
      <c r="AJ56" s="21"/>
      <c r="AK56" s="21"/>
    </row>
    <row r="57" spans="2:37" ht="20.100000000000001" customHeight="1" x14ac:dyDescent="0.25">
      <c r="G57" s="106" t="s">
        <v>77</v>
      </c>
      <c r="H57" s="148"/>
      <c r="I57" s="149"/>
      <c r="J57" s="207"/>
      <c r="L57" s="210" t="s">
        <v>93</v>
      </c>
      <c r="M57" s="208"/>
      <c r="N57" s="207"/>
      <c r="O57" s="145"/>
      <c r="P57" s="150">
        <f>INDEX(Données!AB4:AD7,MATCH(Données!T28,Données!AA4:AA7,0),MATCH(L56,Données!AB2:AD2,0))</f>
        <v>5.0799999999999998E-2</v>
      </c>
      <c r="Q57" s="116"/>
      <c r="R57" s="173" t="s">
        <v>92</v>
      </c>
      <c r="S57" s="116"/>
      <c r="T57" s="151">
        <f>NOMINAL(P57,12)/12</f>
        <v>4.1378522703343634E-3</v>
      </c>
      <c r="U57" s="116"/>
      <c r="V57" s="173" t="s">
        <v>36</v>
      </c>
      <c r="W57" s="118"/>
      <c r="X57" s="263">
        <f>-PMT(P57/12,Données!T28*12,R45,1)</f>
        <v>751.37243566043082</v>
      </c>
      <c r="Y57" s="118"/>
      <c r="Z57" s="20">
        <f>X57*X56</f>
        <v>180329.3845585034</v>
      </c>
      <c r="AA57" s="114"/>
      <c r="AB57" s="114"/>
      <c r="AC57" s="114"/>
      <c r="AD57" s="114"/>
      <c r="AE57" s="114"/>
      <c r="AF57" s="111"/>
      <c r="AG57" s="111"/>
      <c r="AH57" s="211"/>
      <c r="AI57" s="21"/>
      <c r="AJ57" s="21"/>
      <c r="AK57" s="21"/>
    </row>
    <row r="58" spans="2:37" ht="20.100000000000001" customHeight="1" x14ac:dyDescent="0.25">
      <c r="D58" s="167"/>
      <c r="G58" s="160" t="s">
        <v>103</v>
      </c>
      <c r="H58" s="152"/>
      <c r="I58" s="153"/>
      <c r="J58" s="206"/>
      <c r="L58" s="154" t="s">
        <v>94</v>
      </c>
      <c r="M58" s="209"/>
      <c r="N58" s="206"/>
      <c r="O58" s="145"/>
      <c r="P58" s="156">
        <f>RATE(X56,-X58,R45)*12</f>
        <v>7.924647135806101E-2</v>
      </c>
      <c r="Q58" s="116"/>
      <c r="R58" s="203" t="s">
        <v>92</v>
      </c>
      <c r="S58" s="116"/>
      <c r="T58" s="157">
        <f>T57+0.2466%</f>
        <v>6.6038522703343637E-3</v>
      </c>
      <c r="U58" s="116"/>
      <c r="V58" s="203" t="s">
        <v>105</v>
      </c>
      <c r="W58" s="118"/>
      <c r="X58" s="265">
        <f>-PMT(T58,Données!T28*12,R45,1)</f>
        <v>940.65747543516136</v>
      </c>
      <c r="Y58" s="118"/>
      <c r="Z58" s="264">
        <f>X58*X56</f>
        <v>225757.79410443874</v>
      </c>
      <c r="AA58" s="114"/>
      <c r="AB58" s="111"/>
      <c r="AC58" s="114"/>
      <c r="AD58" s="111"/>
      <c r="AE58" s="114"/>
      <c r="AF58" s="111"/>
      <c r="AG58" s="111"/>
      <c r="AH58" s="211"/>
      <c r="AI58" s="21"/>
      <c r="AJ58" s="21"/>
      <c r="AK58" s="21"/>
    </row>
    <row r="59" spans="2:37" ht="20.100000000000001" customHeight="1" x14ac:dyDescent="0.25">
      <c r="G59" s="79"/>
      <c r="H59" s="79"/>
      <c r="K59" s="79"/>
      <c r="L59" s="79"/>
      <c r="P59" s="79"/>
      <c r="Q59" s="79"/>
      <c r="R59" s="35"/>
      <c r="S59" s="79"/>
      <c r="T59" s="35"/>
      <c r="U59" s="79"/>
      <c r="V59" s="79"/>
      <c r="W59" s="79"/>
      <c r="X59" s="79"/>
      <c r="Y59" s="79"/>
      <c r="Z59" s="79"/>
      <c r="AA59" s="114"/>
      <c r="AB59" s="111"/>
      <c r="AC59" s="114"/>
      <c r="AD59" s="111"/>
      <c r="AE59" s="114"/>
      <c r="AF59" s="111"/>
      <c r="AG59" s="111"/>
      <c r="AH59" s="211"/>
      <c r="AI59" s="21"/>
      <c r="AJ59" s="21"/>
      <c r="AK59" s="21"/>
    </row>
    <row r="60" spans="2:37" ht="20.100000000000001" customHeight="1" x14ac:dyDescent="0.25">
      <c r="G60" s="79"/>
      <c r="H60" s="79"/>
      <c r="K60" s="79"/>
      <c r="L60" s="79"/>
      <c r="P60" s="79"/>
      <c r="Q60" s="79"/>
      <c r="R60" s="35"/>
      <c r="S60" s="79"/>
      <c r="T60" s="35"/>
      <c r="U60" s="79"/>
      <c r="V60" s="79"/>
      <c r="W60" s="79"/>
      <c r="X60" s="79"/>
      <c r="Y60" s="79"/>
      <c r="Z60" s="79"/>
      <c r="AA60" s="114"/>
      <c r="AB60" s="111"/>
      <c r="AC60" s="114"/>
      <c r="AD60" s="111"/>
      <c r="AE60" s="114"/>
      <c r="AF60" s="111"/>
      <c r="AG60" s="111"/>
      <c r="AH60" s="37"/>
      <c r="AI60" s="145"/>
      <c r="AJ60" s="145"/>
      <c r="AK60" s="145"/>
    </row>
    <row r="61" spans="2:37" ht="20.100000000000001" customHeight="1" x14ac:dyDescent="0.25">
      <c r="G61" s="73"/>
      <c r="H61" s="116"/>
      <c r="I61" s="2"/>
      <c r="J61" s="2"/>
      <c r="L61" s="219" t="s">
        <v>84</v>
      </c>
      <c r="P61" s="117" t="s">
        <v>88</v>
      </c>
      <c r="Q61" s="116"/>
      <c r="R61" s="242">
        <f>Données!T28</f>
        <v>20</v>
      </c>
      <c r="S61" s="116"/>
      <c r="T61" s="3"/>
      <c r="U61" s="116"/>
      <c r="V61" s="202" t="s">
        <v>104</v>
      </c>
      <c r="W61" s="116"/>
      <c r="X61" s="117">
        <f>R61*12</f>
        <v>240</v>
      </c>
      <c r="Y61" s="119"/>
      <c r="Z61" s="117" t="s">
        <v>83</v>
      </c>
      <c r="AA61" s="114"/>
      <c r="AB61" s="111"/>
      <c r="AC61" s="114"/>
      <c r="AD61" s="111"/>
      <c r="AE61" s="114"/>
      <c r="AF61" s="111"/>
      <c r="AG61" s="111"/>
      <c r="AH61" s="115"/>
    </row>
    <row r="62" spans="2:37" ht="20.100000000000001" customHeight="1" x14ac:dyDescent="0.25">
      <c r="G62" s="161" t="s">
        <v>77</v>
      </c>
      <c r="H62" s="218"/>
      <c r="I62" s="155"/>
      <c r="J62" s="155"/>
      <c r="L62" s="202" t="s">
        <v>93</v>
      </c>
      <c r="M62" s="145"/>
      <c r="N62" s="145"/>
      <c r="O62" s="145"/>
      <c r="P62" s="158">
        <f>INDEX(Données!AB4:AD7,MATCH(Données!T28,Données!AA4:AA7,0),MATCH(L61,Données!AB2:AD2,0))</f>
        <v>5.3199999999999997E-2</v>
      </c>
      <c r="Q62" s="116"/>
      <c r="R62" s="202" t="s">
        <v>92</v>
      </c>
      <c r="S62" s="116"/>
      <c r="T62" s="159">
        <f>NOMINAL(P62,12)/12</f>
        <v>4.3287712331259165E-3</v>
      </c>
      <c r="U62" s="116"/>
      <c r="V62" s="202" t="s">
        <v>36</v>
      </c>
      <c r="W62" s="119"/>
      <c r="X62" s="266">
        <f>-PMT(P62/12,Données!T28*12,R45,1)</f>
        <v>766.50150221349509</v>
      </c>
      <c r="Y62" s="119"/>
      <c r="Z62" s="243">
        <f>X62*X61</f>
        <v>183960.36053123881</v>
      </c>
      <c r="AA62" s="114"/>
      <c r="AB62" s="111"/>
      <c r="AC62" s="114"/>
      <c r="AD62" s="111"/>
      <c r="AE62" s="114"/>
      <c r="AF62" s="111"/>
      <c r="AG62" s="111"/>
      <c r="AH62" s="115"/>
    </row>
    <row r="63" spans="2:37" ht="20.100000000000001" customHeight="1" x14ac:dyDescent="0.25"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112"/>
      <c r="R63" s="111"/>
      <c r="S63" s="113"/>
      <c r="T63" s="111"/>
      <c r="U63" s="114"/>
      <c r="V63" s="111"/>
      <c r="W63" s="114"/>
      <c r="X63" s="111"/>
      <c r="Y63" s="114"/>
      <c r="Z63" s="111"/>
      <c r="AA63" s="111"/>
      <c r="AB63" s="115"/>
    </row>
    <row r="64" spans="2:37" ht="20.100000000000001" customHeight="1" x14ac:dyDescent="0.25"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112"/>
      <c r="R64" s="111"/>
      <c r="S64" s="113"/>
      <c r="T64" s="111"/>
      <c r="U64" s="114"/>
      <c r="V64" s="111"/>
      <c r="W64" s="114"/>
      <c r="X64" s="111"/>
      <c r="Y64" s="114"/>
      <c r="Z64" s="111"/>
      <c r="AA64" s="111"/>
      <c r="AB64" s="115"/>
    </row>
    <row r="65" spans="2:28" ht="20.100000000000001" customHeight="1" x14ac:dyDescent="0.25"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112"/>
      <c r="R65" s="111"/>
      <c r="S65" s="113"/>
      <c r="T65" s="111"/>
      <c r="U65" s="114"/>
      <c r="V65" s="111"/>
      <c r="W65" s="114"/>
      <c r="X65" s="111"/>
      <c r="Y65" s="114"/>
      <c r="Z65" s="111"/>
      <c r="AA65" s="111"/>
      <c r="AB65" s="115"/>
    </row>
    <row r="66" spans="2:28" ht="20.100000000000001" customHeight="1" x14ac:dyDescent="0.25"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112"/>
      <c r="R66" s="111"/>
      <c r="S66" s="113"/>
      <c r="T66" s="111"/>
      <c r="U66" s="114"/>
      <c r="V66" s="111"/>
      <c r="W66" s="114"/>
      <c r="X66" s="111"/>
      <c r="Y66" s="114"/>
      <c r="Z66" s="111"/>
      <c r="AA66" s="111"/>
      <c r="AB66" s="115"/>
    </row>
    <row r="67" spans="2:28" ht="20.100000000000001" customHeight="1" x14ac:dyDescent="0.25"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112"/>
      <c r="R67" s="111"/>
      <c r="S67" s="113"/>
      <c r="T67" s="111"/>
      <c r="U67" s="114"/>
      <c r="V67" s="111"/>
      <c r="W67" s="114"/>
      <c r="X67" s="111"/>
      <c r="Y67" s="114"/>
      <c r="Z67" s="111"/>
      <c r="AA67" s="111"/>
      <c r="AB67" s="115"/>
    </row>
    <row r="68" spans="2:28" s="145" customFormat="1" ht="20.100000000000001" customHeight="1" x14ac:dyDescent="0.25"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66"/>
      <c r="R68" s="114"/>
      <c r="S68" s="113"/>
      <c r="T68" s="114"/>
      <c r="U68" s="114"/>
      <c r="V68" s="114"/>
      <c r="W68" s="114"/>
      <c r="X68" s="114"/>
      <c r="Y68" s="114"/>
      <c r="Z68" s="114"/>
      <c r="AA68" s="114"/>
      <c r="AB68" s="37"/>
    </row>
    <row r="69" spans="2:28" s="145" customFormat="1" ht="20.100000000000001" customHeight="1" x14ac:dyDescent="0.25"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66"/>
      <c r="R69" s="114"/>
      <c r="S69" s="113"/>
      <c r="T69" s="114"/>
      <c r="U69" s="114"/>
      <c r="V69" s="114"/>
      <c r="W69" s="114"/>
      <c r="X69" s="114"/>
      <c r="Y69" s="114"/>
      <c r="Z69" s="114"/>
      <c r="AA69" s="114"/>
      <c r="AB69" s="37"/>
    </row>
    <row r="70" spans="2:28" ht="20.100000000000001" customHeight="1" x14ac:dyDescent="0.25">
      <c r="B70" s="2"/>
      <c r="D70" s="87"/>
      <c r="E70" s="92"/>
      <c r="F70" s="87"/>
      <c r="G70" s="92"/>
      <c r="H70" s="87"/>
      <c r="I70" s="92"/>
      <c r="J70" s="87"/>
      <c r="K70" s="92"/>
      <c r="L70" s="87"/>
      <c r="M70" s="166"/>
      <c r="N70" s="166"/>
      <c r="O70" s="92"/>
      <c r="P70" s="83"/>
      <c r="Q70" s="112"/>
      <c r="R70" s="111"/>
      <c r="S70" s="113"/>
      <c r="T70" s="111"/>
      <c r="U70" s="114"/>
      <c r="V70" s="111"/>
      <c r="W70" s="114"/>
      <c r="X70" s="111"/>
      <c r="Y70" s="114"/>
      <c r="Z70" s="111"/>
      <c r="AA70" s="111"/>
      <c r="AB70" s="115"/>
    </row>
    <row r="71" spans="2:28" ht="20.100000000000001" customHeight="1" x14ac:dyDescent="0.25">
      <c r="B71" s="2"/>
      <c r="D71" s="87"/>
      <c r="E71" s="92"/>
      <c r="F71" s="87"/>
      <c r="G71" s="92"/>
      <c r="H71" s="87"/>
      <c r="I71" s="92"/>
      <c r="J71" s="87"/>
      <c r="K71" s="92"/>
      <c r="L71" s="87"/>
      <c r="M71" s="166"/>
      <c r="N71" s="166"/>
      <c r="O71" s="92"/>
      <c r="P71" s="83"/>
      <c r="Q71" s="112"/>
      <c r="R71" s="111"/>
      <c r="S71" s="113"/>
      <c r="T71" s="111"/>
      <c r="U71" s="114"/>
      <c r="V71" s="111"/>
      <c r="W71" s="114"/>
      <c r="X71" s="111"/>
      <c r="Y71" s="114"/>
      <c r="Z71" s="111"/>
      <c r="AA71" s="111"/>
      <c r="AB71" s="115"/>
    </row>
    <row r="72" spans="2:28" ht="20.100000000000001" customHeight="1" x14ac:dyDescent="0.25">
      <c r="B72" s="2"/>
      <c r="D72" s="87"/>
      <c r="E72" s="92"/>
      <c r="F72" s="87"/>
      <c r="G72" s="92"/>
      <c r="H72" s="87"/>
      <c r="I72" s="92"/>
      <c r="J72" s="87"/>
      <c r="K72" s="92"/>
      <c r="L72" s="87"/>
      <c r="M72" s="166"/>
      <c r="N72" s="166"/>
      <c r="O72" s="92"/>
      <c r="P72" s="83"/>
      <c r="Q72" s="112"/>
      <c r="R72" s="111"/>
      <c r="S72" s="113"/>
      <c r="T72" s="111"/>
      <c r="U72" s="114"/>
      <c r="V72" s="111"/>
      <c r="W72" s="114"/>
      <c r="X72" s="111"/>
      <c r="Y72" s="114"/>
      <c r="Z72" s="111"/>
      <c r="AA72" s="111"/>
      <c r="AB72" s="115"/>
    </row>
    <row r="73" spans="2:28" ht="20.100000000000001" customHeight="1" x14ac:dyDescent="0.25">
      <c r="B73" s="2"/>
      <c r="D73" s="87"/>
      <c r="E73" s="92"/>
      <c r="F73" s="87"/>
      <c r="G73" s="92"/>
      <c r="H73" s="87"/>
      <c r="I73" s="92"/>
      <c r="J73" s="87"/>
      <c r="K73" s="92"/>
      <c r="L73" s="87"/>
      <c r="M73" s="166"/>
      <c r="N73" s="166"/>
      <c r="O73" s="92"/>
      <c r="P73" s="83"/>
      <c r="Q73" s="112"/>
      <c r="R73" s="111"/>
      <c r="S73" s="113"/>
      <c r="T73" s="111"/>
      <c r="U73" s="114"/>
      <c r="V73" s="111"/>
      <c r="W73" s="114"/>
      <c r="X73" s="111"/>
      <c r="Y73" s="114"/>
      <c r="Z73" s="111"/>
      <c r="AA73" s="111"/>
      <c r="AB73" s="115"/>
    </row>
    <row r="74" spans="2:28" ht="20.100000000000001" customHeight="1" x14ac:dyDescent="0.25">
      <c r="B74" s="2"/>
      <c r="D74" s="87"/>
      <c r="E74" s="92"/>
      <c r="F74" s="87"/>
      <c r="G74" s="92"/>
      <c r="H74" s="87"/>
      <c r="I74" s="92"/>
      <c r="J74" s="87"/>
      <c r="K74" s="92"/>
      <c r="L74" s="87"/>
      <c r="M74" s="166"/>
      <c r="N74" s="166"/>
      <c r="O74" s="92"/>
      <c r="P74" s="83"/>
      <c r="Q74" s="112"/>
      <c r="R74" s="111"/>
      <c r="S74" s="113"/>
      <c r="T74" s="111"/>
      <c r="U74" s="114"/>
      <c r="V74" s="111"/>
      <c r="W74" s="114"/>
      <c r="X74" s="111"/>
      <c r="Y74" s="114"/>
      <c r="Z74" s="111"/>
      <c r="AA74" s="111"/>
      <c r="AB74" s="115"/>
    </row>
    <row r="75" spans="2:28" ht="20.100000000000001" customHeight="1" x14ac:dyDescent="0.25">
      <c r="B75" s="2"/>
      <c r="D75" s="87"/>
      <c r="E75" s="92"/>
      <c r="F75" s="87"/>
      <c r="G75" s="92"/>
      <c r="H75" s="87"/>
      <c r="I75" s="92"/>
      <c r="J75" s="87"/>
      <c r="K75" s="92"/>
      <c r="L75" s="87"/>
      <c r="M75" s="166"/>
      <c r="N75" s="166"/>
      <c r="O75" s="92"/>
      <c r="P75" s="83"/>
      <c r="Q75" s="112"/>
      <c r="R75" s="111"/>
      <c r="S75" s="113"/>
      <c r="T75" s="111"/>
      <c r="U75" s="114"/>
      <c r="V75" s="111"/>
      <c r="W75" s="114"/>
      <c r="X75" s="111"/>
      <c r="Y75" s="114"/>
      <c r="Z75" s="111"/>
      <c r="AA75" s="111"/>
      <c r="AB75" s="115"/>
    </row>
    <row r="76" spans="2:28" ht="20.100000000000001" customHeight="1" x14ac:dyDescent="0.25">
      <c r="B76" s="2"/>
      <c r="D76" s="87"/>
      <c r="E76" s="92"/>
      <c r="F76" s="87"/>
      <c r="G76" s="92"/>
      <c r="H76" s="87"/>
      <c r="I76" s="92"/>
      <c r="J76" s="87"/>
      <c r="K76" s="92"/>
      <c r="L76" s="87"/>
      <c r="M76" s="166"/>
      <c r="N76" s="166"/>
      <c r="O76" s="92"/>
      <c r="P76" s="83"/>
      <c r="Q76" s="112"/>
      <c r="R76" s="111"/>
      <c r="S76" s="113"/>
      <c r="T76" s="111"/>
      <c r="U76" s="114"/>
      <c r="V76" s="111"/>
      <c r="W76" s="114"/>
      <c r="X76" s="111"/>
      <c r="Y76" s="114"/>
      <c r="Z76" s="111"/>
      <c r="AA76" s="111"/>
      <c r="AB76" s="115"/>
    </row>
    <row r="77" spans="2:28" ht="20.100000000000001" customHeight="1" x14ac:dyDescent="0.25">
      <c r="B77" s="2"/>
      <c r="D77" s="87"/>
      <c r="E77" s="92"/>
      <c r="F77" s="87"/>
      <c r="G77" s="92"/>
      <c r="H77" s="87"/>
      <c r="I77" s="92"/>
      <c r="J77" s="87"/>
      <c r="K77" s="92"/>
      <c r="L77" s="87"/>
      <c r="M77" s="166"/>
      <c r="N77" s="166"/>
      <c r="O77" s="92"/>
      <c r="P77" s="83"/>
      <c r="Q77" s="112"/>
      <c r="R77" s="111"/>
      <c r="S77" s="113"/>
      <c r="T77" s="111"/>
      <c r="U77" s="114"/>
      <c r="V77" s="111"/>
      <c r="W77" s="114"/>
      <c r="X77" s="111"/>
      <c r="Y77" s="114"/>
      <c r="Z77" s="111"/>
      <c r="AA77" s="111"/>
      <c r="AB77" s="115"/>
    </row>
    <row r="78" spans="2:28" ht="20.100000000000001" customHeight="1" x14ac:dyDescent="0.25">
      <c r="B78" s="2"/>
      <c r="D78" s="87"/>
      <c r="E78" s="92"/>
      <c r="F78" s="87"/>
      <c r="G78" s="92"/>
      <c r="H78" s="87"/>
      <c r="I78" s="92"/>
      <c r="J78" s="87"/>
      <c r="K78" s="92"/>
      <c r="L78" s="87"/>
      <c r="M78" s="166"/>
      <c r="N78" s="166"/>
      <c r="O78" s="92"/>
      <c r="P78" s="83"/>
      <c r="Q78" s="112"/>
      <c r="R78" s="111"/>
      <c r="S78" s="113"/>
      <c r="T78" s="111"/>
      <c r="U78" s="114"/>
      <c r="V78" s="111"/>
      <c r="W78" s="114"/>
      <c r="X78" s="111"/>
      <c r="Y78" s="114"/>
      <c r="Z78" s="111"/>
      <c r="AA78" s="111"/>
      <c r="AB78" s="115"/>
    </row>
    <row r="79" spans="2:28" ht="20.100000000000001" customHeight="1" x14ac:dyDescent="0.25">
      <c r="B79" s="116" t="s">
        <v>85</v>
      </c>
      <c r="D79" s="87"/>
      <c r="E79" s="92"/>
      <c r="F79" s="87"/>
      <c r="G79" s="92"/>
      <c r="H79" s="87"/>
      <c r="I79" s="92"/>
      <c r="J79" s="87"/>
      <c r="K79" s="92"/>
      <c r="L79" s="87"/>
      <c r="M79" s="166"/>
      <c r="N79" s="166"/>
      <c r="O79" s="92"/>
      <c r="P79" s="83"/>
      <c r="Q79" s="112"/>
      <c r="R79" s="111"/>
      <c r="S79" s="113"/>
      <c r="T79" s="111"/>
      <c r="U79" s="114"/>
      <c r="V79" s="111"/>
      <c r="W79" s="114"/>
      <c r="X79" s="111"/>
      <c r="Y79" s="114"/>
      <c r="Z79" s="111"/>
      <c r="AA79" s="111"/>
      <c r="AB79" s="115"/>
    </row>
    <row r="80" spans="2:28" ht="20.100000000000001" customHeight="1" x14ac:dyDescent="0.25">
      <c r="B80" s="116" t="s">
        <v>76</v>
      </c>
      <c r="D80" s="87"/>
      <c r="E80" s="92"/>
      <c r="F80" s="87"/>
      <c r="G80" s="92"/>
      <c r="H80" s="87"/>
      <c r="I80" s="92"/>
      <c r="J80" s="87"/>
      <c r="K80" s="92"/>
      <c r="L80" s="87"/>
      <c r="M80" s="166"/>
      <c r="N80" s="166"/>
      <c r="O80" s="92"/>
      <c r="P80" s="83"/>
      <c r="Q80" s="112"/>
      <c r="R80" s="111"/>
      <c r="S80" s="113"/>
      <c r="T80" s="111"/>
      <c r="U80" s="114"/>
      <c r="V80" s="111"/>
      <c r="W80" s="114"/>
      <c r="X80" s="111"/>
      <c r="Y80" s="114"/>
      <c r="Z80" s="111"/>
      <c r="AA80" s="111"/>
      <c r="AB80" s="115"/>
    </row>
    <row r="81" spans="2:38" ht="20.100000000000001" customHeight="1" x14ac:dyDescent="0.25">
      <c r="B81" s="2"/>
      <c r="D81" s="87"/>
      <c r="E81" s="92"/>
      <c r="F81" s="87"/>
      <c r="G81" s="92"/>
      <c r="H81" s="87"/>
      <c r="I81" s="92"/>
      <c r="J81" s="87"/>
      <c r="K81" s="92"/>
      <c r="L81" s="87"/>
      <c r="M81" s="166"/>
      <c r="N81" s="166"/>
      <c r="O81" s="92"/>
      <c r="P81" s="166"/>
      <c r="Q81" s="116"/>
      <c r="R81" s="21"/>
      <c r="S81" s="120"/>
      <c r="T81" s="21"/>
      <c r="U81" s="121"/>
      <c r="V81" s="21"/>
      <c r="W81" s="121"/>
      <c r="X81" s="121"/>
      <c r="Y81" s="121"/>
      <c r="Z81" s="121"/>
      <c r="AA81" s="121"/>
      <c r="AB81" s="98"/>
    </row>
    <row r="82" spans="2:38" ht="20.100000000000001" customHeight="1" x14ac:dyDescent="0.25">
      <c r="B82" s="2"/>
      <c r="D82" s="87"/>
      <c r="E82" s="92"/>
      <c r="F82" s="87"/>
      <c r="G82" s="92"/>
      <c r="H82" s="87"/>
      <c r="I82" s="92"/>
      <c r="J82" s="87"/>
      <c r="K82" s="92"/>
      <c r="L82" s="87"/>
      <c r="M82" s="166"/>
      <c r="N82" s="166"/>
      <c r="O82" s="92"/>
      <c r="P82" s="166"/>
      <c r="Q82" s="116"/>
      <c r="R82" s="21"/>
      <c r="S82" s="120"/>
      <c r="T82" s="21"/>
      <c r="U82" s="121"/>
      <c r="V82" s="21"/>
      <c r="W82" s="121"/>
      <c r="X82" s="121"/>
      <c r="Y82" s="121"/>
      <c r="Z82" s="121"/>
      <c r="AA82" s="121"/>
      <c r="AB82" s="37"/>
    </row>
    <row r="83" spans="2:38" ht="20.100000000000001" hidden="1" customHeight="1" x14ac:dyDescent="0.25">
      <c r="B83" s="2"/>
      <c r="D83" s="87"/>
      <c r="E83" s="92"/>
      <c r="F83" s="87"/>
      <c r="G83" s="92"/>
      <c r="H83" s="87"/>
      <c r="I83" s="92"/>
      <c r="J83" s="87"/>
      <c r="K83" s="92"/>
      <c r="L83" s="87"/>
      <c r="M83" s="166"/>
      <c r="N83" s="166"/>
      <c r="O83" s="92"/>
      <c r="P83" s="166"/>
      <c r="Q83" s="116"/>
      <c r="R83" s="21"/>
      <c r="S83" s="120"/>
      <c r="T83" s="21"/>
      <c r="U83" s="121"/>
      <c r="V83" s="21"/>
      <c r="W83" s="121"/>
      <c r="X83" s="121"/>
      <c r="Y83" s="121"/>
      <c r="Z83" s="121"/>
      <c r="AA83" s="121"/>
      <c r="AB83" s="33"/>
    </row>
    <row r="84" spans="2:38" ht="20.100000000000001" hidden="1" customHeight="1" x14ac:dyDescent="0.25">
      <c r="B84" s="2"/>
      <c r="D84" s="87"/>
      <c r="E84" s="92"/>
      <c r="F84" s="87"/>
      <c r="G84" s="92"/>
      <c r="H84" s="87"/>
      <c r="I84" s="92"/>
      <c r="J84" s="87"/>
      <c r="K84" s="92"/>
      <c r="L84" s="87"/>
      <c r="M84" s="166"/>
      <c r="N84" s="166"/>
      <c r="O84" s="92"/>
      <c r="P84" s="166"/>
      <c r="Q84" s="116"/>
      <c r="R84" s="21"/>
      <c r="S84" s="120"/>
      <c r="T84" s="21"/>
      <c r="U84" s="121"/>
      <c r="V84" s="21"/>
      <c r="W84" s="121"/>
      <c r="X84" s="121"/>
      <c r="Y84" s="121"/>
      <c r="Z84" s="121"/>
      <c r="AA84" s="121"/>
      <c r="AB84" s="111"/>
    </row>
    <row r="85" spans="2:38" ht="17.25" hidden="1" customHeight="1" x14ac:dyDescent="0.25">
      <c r="B85" s="2"/>
      <c r="D85" s="87"/>
      <c r="E85" s="92"/>
      <c r="F85" s="87"/>
      <c r="G85" s="92"/>
      <c r="H85" s="87"/>
      <c r="I85" s="92"/>
      <c r="J85" s="87"/>
      <c r="K85" s="92"/>
      <c r="L85" s="87"/>
      <c r="M85" s="166"/>
      <c r="N85" s="166"/>
      <c r="O85" s="92"/>
      <c r="P85" s="122"/>
      <c r="Q85" s="92"/>
      <c r="R85" s="115"/>
      <c r="S85" s="115"/>
      <c r="T85" s="115"/>
      <c r="U85" s="115"/>
      <c r="V85" s="115"/>
      <c r="W85" s="121"/>
      <c r="X85" s="121"/>
      <c r="Y85" s="121"/>
      <c r="Z85" s="121"/>
      <c r="AA85" s="121"/>
    </row>
    <row r="86" spans="2:38" s="14" customFormat="1" ht="13.5" hidden="1" customHeight="1" x14ac:dyDescent="0.25">
      <c r="B86" s="166"/>
      <c r="C86" s="116"/>
      <c r="D86" s="21"/>
      <c r="E86" s="120"/>
      <c r="F86" s="21"/>
      <c r="G86" s="121"/>
      <c r="H86" s="21"/>
      <c r="I86" s="121"/>
      <c r="J86" s="120"/>
      <c r="K86" s="120"/>
      <c r="L86" s="121"/>
      <c r="M86" s="121"/>
      <c r="N86" s="121"/>
      <c r="O86" s="121"/>
      <c r="P86" s="122"/>
      <c r="Q86" s="92"/>
      <c r="R86" s="115"/>
      <c r="S86" s="115"/>
      <c r="T86" s="115"/>
      <c r="U86" s="115"/>
      <c r="V86" s="115"/>
      <c r="W86" s="121"/>
      <c r="X86" s="121"/>
      <c r="Y86" s="121"/>
      <c r="Z86" s="121"/>
      <c r="AA86" s="121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2:38" s="14" customFormat="1" ht="15.75" hidden="1" customHeight="1" x14ac:dyDescent="0.25">
      <c r="B87" s="166"/>
      <c r="C87" s="116"/>
      <c r="D87" s="21"/>
      <c r="E87" s="120"/>
      <c r="F87" s="21"/>
      <c r="G87" s="121"/>
      <c r="H87" s="21"/>
      <c r="I87" s="121"/>
      <c r="J87" s="120"/>
      <c r="K87" s="120"/>
      <c r="L87" s="121"/>
      <c r="M87" s="121"/>
      <c r="N87" s="121"/>
      <c r="O87" s="121"/>
      <c r="P87" s="69"/>
      <c r="Q87" s="112"/>
      <c r="R87" s="123" t="s">
        <v>6</v>
      </c>
      <c r="S87" s="123"/>
      <c r="T87" s="124">
        <v>0</v>
      </c>
      <c r="U87" s="124"/>
      <c r="V87" s="125">
        <v>7500</v>
      </c>
      <c r="W87" s="121"/>
      <c r="X87" s="125" t="str">
        <f t="shared" ref="X87:X92" si="2">IF($R$4+$V$20+$Z$8&gt;V87,"oui","non")</f>
        <v>oui</v>
      </c>
      <c r="Y87" s="125">
        <f>IF(X87="oui",V87,R4+V20+Z8)</f>
        <v>7500</v>
      </c>
      <c r="Z87" s="127">
        <f t="shared" ref="Z87:Z93" si="3">Y87*W91</f>
        <v>342</v>
      </c>
      <c r="AA87" s="214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2:38" s="14" customFormat="1" ht="19.5" hidden="1" customHeight="1" x14ac:dyDescent="0.25">
      <c r="B88" s="79"/>
      <c r="C88" s="116"/>
      <c r="D88" s="68"/>
      <c r="E88" s="120"/>
      <c r="F88" s="121"/>
      <c r="G88" s="120"/>
      <c r="H88" s="120"/>
      <c r="I88" s="121"/>
      <c r="J88" s="120"/>
      <c r="K88" s="120"/>
      <c r="L88" s="121"/>
      <c r="M88" s="120"/>
      <c r="N88" s="121"/>
      <c r="O88" s="121"/>
      <c r="P88" s="69"/>
      <c r="Q88" s="112"/>
      <c r="R88" s="126" t="s">
        <v>7</v>
      </c>
      <c r="S88" s="126"/>
      <c r="T88" s="124">
        <v>7500</v>
      </c>
      <c r="U88" s="124"/>
      <c r="V88" s="125">
        <v>17500</v>
      </c>
      <c r="W88" s="121"/>
      <c r="X88" s="125" t="str">
        <f t="shared" si="2"/>
        <v>oui</v>
      </c>
      <c r="Y88" s="125">
        <f>IF(X88="oui",V88-V87,CF!$R$4+$V$20-Y87)</f>
        <v>10000</v>
      </c>
      <c r="Z88" s="127">
        <f t="shared" si="3"/>
        <v>285</v>
      </c>
      <c r="AA88" s="214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2:38" s="14" customFormat="1" ht="18" hidden="1" customHeight="1" x14ac:dyDescent="0.25">
      <c r="B89" s="129"/>
      <c r="C89" s="130"/>
      <c r="D89" s="165"/>
      <c r="E89" s="120"/>
      <c r="F89" s="165"/>
      <c r="G89" s="166"/>
      <c r="H89" s="166"/>
      <c r="I89" s="121"/>
      <c r="J89" s="120"/>
      <c r="K89" s="120"/>
      <c r="L89" s="121"/>
      <c r="M89" s="165"/>
      <c r="N89" s="121"/>
      <c r="O89" s="121"/>
      <c r="P89" s="69"/>
      <c r="Q89" s="112"/>
      <c r="R89" s="131"/>
      <c r="S89" s="131"/>
      <c r="T89" s="124">
        <v>17500</v>
      </c>
      <c r="U89" s="124"/>
      <c r="V89" s="125">
        <v>30000</v>
      </c>
      <c r="W89" s="115"/>
      <c r="X89" s="125" t="str">
        <f t="shared" si="2"/>
        <v>oui</v>
      </c>
      <c r="Y89" s="125">
        <f>IF(X89="oui",V89-V88,CF!$R$4+$V$20-Y88-Y87)</f>
        <v>12500</v>
      </c>
      <c r="Z89" s="127">
        <f t="shared" si="3"/>
        <v>285</v>
      </c>
      <c r="AA89" s="214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2:38" s="14" customFormat="1" ht="18" hidden="1" customHeight="1" x14ac:dyDescent="0.25">
      <c r="B90" s="88"/>
      <c r="C90" s="132"/>
      <c r="D90" s="166"/>
      <c r="E90" s="133"/>
      <c r="F90" s="166"/>
      <c r="G90" s="2"/>
      <c r="H90" s="2"/>
      <c r="I90" s="121"/>
      <c r="J90" s="166"/>
      <c r="K90" s="166"/>
      <c r="L90" s="120"/>
      <c r="M90" s="166"/>
      <c r="N90" s="120"/>
      <c r="O90" s="121"/>
      <c r="P90" s="69"/>
      <c r="Q90" s="112"/>
      <c r="R90" s="131"/>
      <c r="S90" s="131"/>
      <c r="T90" s="124">
        <v>30000</v>
      </c>
      <c r="U90" s="124"/>
      <c r="V90" s="125">
        <v>45495</v>
      </c>
      <c r="W90" s="115"/>
      <c r="X90" s="125" t="str">
        <f t="shared" si="2"/>
        <v>oui</v>
      </c>
      <c r="Y90" s="125">
        <f>IF(X90="oui",V90-V89,CF!$R$4+$R$20-Y89-Y88-Y87)</f>
        <v>15495</v>
      </c>
      <c r="Z90" s="127">
        <f t="shared" si="3"/>
        <v>264.96449999999999</v>
      </c>
      <c r="AA90" s="214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2:38" s="14" customFormat="1" ht="21.75" hidden="1" customHeight="1" x14ac:dyDescent="0.25">
      <c r="B91" s="88"/>
      <c r="C91" s="132"/>
      <c r="D91" s="166"/>
      <c r="E91" s="165"/>
      <c r="F91" s="2"/>
      <c r="G91" s="121"/>
      <c r="H91" s="121"/>
      <c r="I91" s="121"/>
      <c r="J91" s="2"/>
      <c r="K91" s="2"/>
      <c r="L91" s="165"/>
      <c r="M91" s="2"/>
      <c r="N91" s="165"/>
      <c r="O91" s="121"/>
      <c r="P91" s="69"/>
      <c r="Q91" s="112"/>
      <c r="R91" s="131"/>
      <c r="S91" s="131"/>
      <c r="T91" s="124">
        <v>45495</v>
      </c>
      <c r="U91" s="124"/>
      <c r="V91" s="125">
        <v>64095</v>
      </c>
      <c r="W91" s="134">
        <v>4.5600000000000002E-2</v>
      </c>
      <c r="X91" s="125" t="str">
        <f t="shared" si="2"/>
        <v>oui</v>
      </c>
      <c r="Y91" s="125">
        <f>IF(X91="oui",V91-V90,CF!$R$4+$V$20-Y90-Y89-Y88-Y87)</f>
        <v>18600</v>
      </c>
      <c r="Z91" s="127">
        <f t="shared" si="3"/>
        <v>212.04000000000002</v>
      </c>
      <c r="AA91" s="214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2:38" s="14" customFormat="1" ht="17.25" hidden="1" customHeight="1" x14ac:dyDescent="0.25">
      <c r="B92" s="88"/>
      <c r="C92" s="44"/>
      <c r="D92" s="135"/>
      <c r="E92" s="165"/>
      <c r="F92" s="121"/>
      <c r="G92" s="121"/>
      <c r="H92" s="121"/>
      <c r="I92" s="121"/>
      <c r="J92" s="121"/>
      <c r="K92" s="121"/>
      <c r="L92" s="166"/>
      <c r="M92" s="121"/>
      <c r="N92" s="166"/>
      <c r="O92" s="121"/>
      <c r="P92" s="69"/>
      <c r="Q92" s="112"/>
      <c r="R92" s="131"/>
      <c r="S92" s="131"/>
      <c r="T92" s="124">
        <v>64095</v>
      </c>
      <c r="U92" s="124"/>
      <c r="V92" s="125">
        <v>250095</v>
      </c>
      <c r="W92" s="134">
        <v>2.8500000000000001E-2</v>
      </c>
      <c r="X92" s="125" t="str">
        <f t="shared" si="2"/>
        <v>non</v>
      </c>
      <c r="Y92" s="125">
        <f>IF(X92="oui",V92-V91,CF!$R$4+$V$20-Y91-Y90-Y89-Y88-Y87)</f>
        <v>35905</v>
      </c>
      <c r="Z92" s="127">
        <f t="shared" si="3"/>
        <v>204.6585</v>
      </c>
      <c r="AA92" s="214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2:38" s="14" customFormat="1" ht="18" hidden="1" customHeight="1" x14ac:dyDescent="0.25">
      <c r="B93" s="79"/>
      <c r="C93" s="116"/>
      <c r="D93" s="135"/>
      <c r="E93" s="120"/>
      <c r="F93" s="121"/>
      <c r="G93" s="121"/>
      <c r="H93" s="121"/>
      <c r="I93" s="121"/>
      <c r="J93" s="121"/>
      <c r="K93" s="121"/>
      <c r="L93" s="2"/>
      <c r="M93" s="121"/>
      <c r="N93" s="2"/>
      <c r="O93" s="121"/>
      <c r="P93" s="69"/>
      <c r="Q93" s="112"/>
      <c r="R93" s="131"/>
      <c r="S93" s="131"/>
      <c r="T93" s="124">
        <v>250095</v>
      </c>
      <c r="U93" s="124"/>
      <c r="V93" s="125"/>
      <c r="W93" s="134">
        <v>2.2800000000000001E-2</v>
      </c>
      <c r="X93" s="125" t="s">
        <v>0</v>
      </c>
      <c r="Y93" s="125">
        <f>IF(R4+V20+Z8&gt;=T93,R4+V20-Z8,0)</f>
        <v>0</v>
      </c>
      <c r="Z93" s="127">
        <f t="shared" si="3"/>
        <v>0</v>
      </c>
      <c r="AA93" s="214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2:38" s="14" customFormat="1" ht="18" hidden="1" customHeight="1" x14ac:dyDescent="0.25">
      <c r="B94" s="79"/>
      <c r="C94" s="116"/>
      <c r="D94" s="135"/>
      <c r="E94" s="120"/>
      <c r="F94" s="121"/>
      <c r="G94" s="121"/>
      <c r="H94" s="121"/>
      <c r="I94" s="120"/>
      <c r="J94" s="121"/>
      <c r="K94" s="121"/>
      <c r="L94" s="121"/>
      <c r="M94" s="121"/>
      <c r="N94" s="121"/>
      <c r="O94" s="121"/>
      <c r="P94" s="69"/>
      <c r="Q94" s="112"/>
      <c r="R94" s="131"/>
      <c r="S94" s="131"/>
      <c r="T94" s="136"/>
      <c r="U94" s="136"/>
      <c r="V94" s="136"/>
      <c r="W94" s="134">
        <v>1.7100000000000001E-2</v>
      </c>
      <c r="X94" s="131"/>
      <c r="Y94" s="131"/>
      <c r="Z94" s="131"/>
      <c r="AA94" s="215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2:38" s="14" customFormat="1" ht="15.75" hidden="1" customHeight="1" x14ac:dyDescent="0.25">
      <c r="B95" s="79"/>
      <c r="C95" s="116"/>
      <c r="D95" s="135"/>
      <c r="E95" s="120"/>
      <c r="F95" s="121"/>
      <c r="G95" s="121"/>
      <c r="H95" s="121"/>
      <c r="I95" s="166"/>
      <c r="J95" s="121"/>
      <c r="K95" s="121"/>
      <c r="L95" s="121"/>
      <c r="M95" s="121"/>
      <c r="N95" s="121"/>
      <c r="O95" s="121"/>
      <c r="P95" s="69"/>
      <c r="Q95" s="112"/>
      <c r="R95" s="137" t="s">
        <v>8</v>
      </c>
      <c r="S95" s="137"/>
      <c r="T95" s="124">
        <v>0</v>
      </c>
      <c r="U95" s="124"/>
      <c r="V95" s="125">
        <v>7500</v>
      </c>
      <c r="W95" s="134">
        <v>1.14E-2</v>
      </c>
      <c r="X95" s="125" t="str">
        <f t="shared" ref="X95:X100" si="4">IF($R$4+$V$20+$Z$8&gt;V95,"oui","non")</f>
        <v>oui</v>
      </c>
      <c r="Y95" s="125">
        <f>IF(X95="oui",V95,R4+V20+Z8)</f>
        <v>7500</v>
      </c>
      <c r="Z95" s="127">
        <f t="shared" ref="Z95:Z101" si="5">Y95*W99</f>
        <v>128.25</v>
      </c>
      <c r="AA95" s="214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2:38" s="14" customFormat="1" ht="17.25" hidden="1" customHeight="1" x14ac:dyDescent="0.25">
      <c r="B96" s="79"/>
      <c r="C96" s="116"/>
      <c r="D96" s="68"/>
      <c r="E96" s="120"/>
      <c r="F96" s="121"/>
      <c r="G96" s="121"/>
      <c r="H96" s="121"/>
      <c r="I96" s="2"/>
      <c r="J96" s="121"/>
      <c r="K96" s="121"/>
      <c r="L96" s="121"/>
      <c r="M96" s="121"/>
      <c r="N96" s="121"/>
      <c r="O96" s="121"/>
      <c r="P96" s="69"/>
      <c r="Q96" s="112"/>
      <c r="R96" s="138" t="s">
        <v>9</v>
      </c>
      <c r="S96" s="138"/>
      <c r="T96" s="124">
        <v>7500</v>
      </c>
      <c r="U96" s="124"/>
      <c r="V96" s="125">
        <v>17500</v>
      </c>
      <c r="W96" s="134">
        <v>5.7000000000000002E-3</v>
      </c>
      <c r="X96" s="125" t="str">
        <f t="shared" si="4"/>
        <v>oui</v>
      </c>
      <c r="Y96" s="125">
        <f>IF(X96="oui",V96-V95,($R$4+$V$20+$Z$8)-Y95)</f>
        <v>10000</v>
      </c>
      <c r="Z96" s="127">
        <f t="shared" si="5"/>
        <v>136.79999999999998</v>
      </c>
      <c r="AA96" s="214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2:38" s="14" customFormat="1" ht="24.75" hidden="1" customHeight="1" x14ac:dyDescent="0.25">
      <c r="B97" s="79"/>
      <c r="C97" s="116"/>
      <c r="D97" s="68"/>
      <c r="E97" s="120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69"/>
      <c r="Q97" s="112"/>
      <c r="R97" s="138"/>
      <c r="S97" s="138"/>
      <c r="T97" s="124">
        <v>17500</v>
      </c>
      <c r="U97" s="124"/>
      <c r="V97" s="125">
        <v>30000</v>
      </c>
      <c r="W97" s="134">
        <v>5.6999999999999998E-4</v>
      </c>
      <c r="X97" s="125" t="str">
        <f t="shared" si="4"/>
        <v>oui</v>
      </c>
      <c r="Y97" s="125">
        <f>IF(X97="oui",V97-V96,($R$4+$V$20+$Z$8)-Y96-Y95)</f>
        <v>12500</v>
      </c>
      <c r="Z97" s="127">
        <f t="shared" si="5"/>
        <v>114</v>
      </c>
      <c r="AA97" s="214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2:38" s="14" customFormat="1" ht="17.25" hidden="1" customHeight="1" x14ac:dyDescent="0.25">
      <c r="B98" s="79"/>
      <c r="C98" s="44"/>
      <c r="D98" s="68"/>
      <c r="E98" s="139"/>
      <c r="F98" s="121"/>
      <c r="G98" s="105"/>
      <c r="H98" s="105"/>
      <c r="I98" s="121"/>
      <c r="J98" s="121"/>
      <c r="K98" s="121"/>
      <c r="L98" s="121"/>
      <c r="M98" s="121"/>
      <c r="N98" s="121"/>
      <c r="O98" s="121"/>
      <c r="P98" s="69"/>
      <c r="Q98" s="112"/>
      <c r="R98" s="128"/>
      <c r="S98" s="128"/>
      <c r="T98" s="124">
        <v>30000</v>
      </c>
      <c r="U98" s="124"/>
      <c r="V98" s="125">
        <v>45495</v>
      </c>
      <c r="W98" s="131"/>
      <c r="X98" s="125" t="str">
        <f t="shared" si="4"/>
        <v>oui</v>
      </c>
      <c r="Y98" s="125">
        <f>IF(X98="oui",V98-V97,($R$4+$V$20+$Z$8)-Y97-Y96-Y95)</f>
        <v>15495</v>
      </c>
      <c r="Z98" s="127">
        <f t="shared" si="5"/>
        <v>105.9858</v>
      </c>
      <c r="AA98" s="214"/>
      <c r="AB98" s="2"/>
      <c r="AC98" s="2"/>
      <c r="AF98" s="2"/>
      <c r="AG98" s="2"/>
      <c r="AH98" s="2"/>
      <c r="AI98" s="2"/>
      <c r="AJ98" s="2"/>
      <c r="AK98" s="2"/>
      <c r="AL98" s="2"/>
    </row>
    <row r="99" spans="2:38" s="14" customFormat="1" ht="18" hidden="1" customHeight="1" x14ac:dyDescent="0.25">
      <c r="C99" s="36"/>
      <c r="D99" s="139"/>
      <c r="E99" s="120"/>
      <c r="F99" s="105"/>
      <c r="G99" s="121"/>
      <c r="H99" s="121"/>
      <c r="I99" s="121"/>
      <c r="J99" s="105"/>
      <c r="K99" s="105"/>
      <c r="L99" s="121"/>
      <c r="M99" s="105"/>
      <c r="N99" s="121"/>
      <c r="O99" s="121"/>
      <c r="P99" s="69"/>
      <c r="Q99" s="112"/>
      <c r="R99" s="128"/>
      <c r="S99" s="128"/>
      <c r="T99" s="124">
        <v>45495</v>
      </c>
      <c r="U99" s="124"/>
      <c r="V99" s="125">
        <v>64095</v>
      </c>
      <c r="W99" s="134">
        <v>1.7100000000000001E-2</v>
      </c>
      <c r="X99" s="125" t="str">
        <f t="shared" si="4"/>
        <v>oui</v>
      </c>
      <c r="Y99" s="125">
        <f>IF(X99="oui",V99-V98,($R$4+$V$20+$Z$8)-Y98-Y97-Y96-Y95)</f>
        <v>18600</v>
      </c>
      <c r="Z99" s="127">
        <f t="shared" si="5"/>
        <v>84.816000000000003</v>
      </c>
      <c r="AA99" s="214"/>
      <c r="AB99" s="2"/>
      <c r="AC99" s="2"/>
      <c r="AF99" s="2"/>
      <c r="AG99" s="2"/>
      <c r="AH99" s="2"/>
      <c r="AI99" s="2"/>
      <c r="AJ99" s="2"/>
      <c r="AK99" s="2"/>
      <c r="AL99" s="2"/>
    </row>
    <row r="100" spans="2:38" s="14" customFormat="1" ht="15.75" hidden="1" customHeight="1" x14ac:dyDescent="0.25">
      <c r="B100" s="122"/>
      <c r="C100" s="116"/>
      <c r="D100" s="135"/>
      <c r="E100" s="120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7"/>
      <c r="Q100" s="112"/>
      <c r="R100" s="128"/>
      <c r="S100" s="128"/>
      <c r="T100" s="124">
        <v>64095</v>
      </c>
      <c r="U100" s="124"/>
      <c r="V100" s="125">
        <v>250095</v>
      </c>
      <c r="W100" s="134">
        <v>1.3679999999999999E-2</v>
      </c>
      <c r="X100" s="125" t="str">
        <f t="shared" si="4"/>
        <v>non</v>
      </c>
      <c r="Y100" s="125">
        <f>IF(X100="oui",V100-V99,($R$4+$V$20+$Z$8)-Y99-Y98-Y97-Y96-Y95)</f>
        <v>35905</v>
      </c>
      <c r="Z100" s="127">
        <f t="shared" si="5"/>
        <v>81.863399999999999</v>
      </c>
      <c r="AA100" s="214"/>
      <c r="AB100" s="2"/>
      <c r="AC100" s="2"/>
      <c r="AF100" s="2"/>
      <c r="AG100" s="2"/>
      <c r="AH100" s="2"/>
      <c r="AI100" s="2"/>
      <c r="AJ100" s="2"/>
      <c r="AK100" s="2"/>
      <c r="AL100" s="2"/>
    </row>
    <row r="101" spans="2:38" s="14" customFormat="1" ht="18" hidden="1" customHeight="1" x14ac:dyDescent="0.25">
      <c r="B101" s="79"/>
      <c r="C101" s="116"/>
      <c r="D101" s="135"/>
      <c r="E101" s="120"/>
      <c r="F101" s="121"/>
      <c r="G101" s="121"/>
      <c r="H101" s="121"/>
      <c r="I101" s="121"/>
      <c r="J101" s="121"/>
      <c r="K101" s="121"/>
      <c r="L101" s="105"/>
      <c r="M101" s="121"/>
      <c r="N101" s="105"/>
      <c r="O101" s="121"/>
      <c r="P101" s="7"/>
      <c r="Q101" s="112"/>
      <c r="R101" s="128"/>
      <c r="S101" s="128"/>
      <c r="T101" s="124">
        <v>250095</v>
      </c>
      <c r="U101" s="124"/>
      <c r="V101" s="125"/>
      <c r="W101" s="134">
        <v>9.1199999999999996E-3</v>
      </c>
      <c r="X101" s="125" t="s">
        <v>0</v>
      </c>
      <c r="Y101" s="125">
        <f>IF((R4+V20+Z8)&gt;=T101,(R4+V20+Z8)-V100,0)</f>
        <v>0</v>
      </c>
      <c r="Z101" s="127">
        <f t="shared" si="5"/>
        <v>0</v>
      </c>
      <c r="AA101" s="214"/>
      <c r="AB101" s="2"/>
      <c r="AC101" s="2"/>
      <c r="AF101" s="2"/>
      <c r="AG101" s="2"/>
      <c r="AH101" s="2"/>
      <c r="AI101" s="2"/>
      <c r="AJ101" s="2"/>
      <c r="AK101" s="2"/>
      <c r="AL101" s="2"/>
    </row>
    <row r="102" spans="2:38" s="14" customFormat="1" ht="15" hidden="1" customHeight="1" x14ac:dyDescent="0.25">
      <c r="B102" s="79"/>
      <c r="C102" s="116"/>
      <c r="D102" s="68"/>
      <c r="E102" s="120"/>
      <c r="F102" s="121"/>
      <c r="G102" s="121"/>
      <c r="H102" s="121"/>
      <c r="I102" s="121"/>
      <c r="J102" s="121"/>
      <c r="K102" s="121"/>
      <c r="L102" s="121"/>
      <c r="M102" s="121"/>
      <c r="N102" s="121"/>
      <c r="O102" s="105"/>
      <c r="P102" s="69"/>
      <c r="Q102" s="112"/>
      <c r="R102" s="128"/>
      <c r="S102" s="128"/>
      <c r="T102" s="140"/>
      <c r="U102" s="140"/>
      <c r="V102" s="140"/>
      <c r="W102" s="134">
        <v>6.8399999999999997E-3</v>
      </c>
      <c r="X102" s="140"/>
      <c r="Y102" s="140"/>
      <c r="Z102" s="140"/>
      <c r="AA102" s="216"/>
      <c r="AB102" s="2"/>
      <c r="AC102" s="2"/>
      <c r="AF102" s="2"/>
      <c r="AG102" s="2"/>
      <c r="AH102" s="2"/>
      <c r="AI102" s="2"/>
      <c r="AJ102" s="2"/>
      <c r="AK102" s="2"/>
      <c r="AL102" s="2"/>
    </row>
    <row r="103" spans="2:38" s="14" customFormat="1" ht="18" hidden="1" customHeight="1" x14ac:dyDescent="0.25">
      <c r="B103" s="79"/>
      <c r="C103" s="116"/>
      <c r="D103" s="68"/>
      <c r="E103" s="120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69"/>
      <c r="Q103" s="112"/>
      <c r="R103" s="137" t="s">
        <v>8</v>
      </c>
      <c r="S103" s="137"/>
      <c r="T103" s="124">
        <v>0</v>
      </c>
      <c r="U103" s="124"/>
      <c r="V103" s="125">
        <v>7500</v>
      </c>
      <c r="W103" s="134">
        <v>4.5599999999999998E-3</v>
      </c>
      <c r="X103" s="125" t="str">
        <f>IF(Z4&gt;V103,"oui","non")</f>
        <v>non</v>
      </c>
      <c r="Y103" s="125">
        <f>IF(X103="oui",V103,Z4)</f>
        <v>0</v>
      </c>
      <c r="Z103" s="127">
        <f t="shared" ref="Z103:Z108" si="6">Y103*W107</f>
        <v>0</v>
      </c>
      <c r="AA103" s="214"/>
      <c r="AB103" s="2"/>
      <c r="AC103" s="2"/>
      <c r="AF103" s="2"/>
      <c r="AG103" s="2"/>
      <c r="AH103" s="2"/>
      <c r="AI103" s="2"/>
      <c r="AJ103" s="2"/>
      <c r="AK103" s="2"/>
      <c r="AL103" s="2"/>
    </row>
    <row r="104" spans="2:38" s="14" customFormat="1" ht="15.75" hidden="1" customHeight="1" x14ac:dyDescent="0.25">
      <c r="B104" s="79"/>
      <c r="C104" s="116"/>
      <c r="D104" s="68"/>
      <c r="E104" s="120"/>
      <c r="F104" s="121"/>
      <c r="G104" s="121"/>
      <c r="H104" s="121"/>
      <c r="I104" s="105"/>
      <c r="J104" s="121"/>
      <c r="K104" s="121"/>
      <c r="L104" s="121"/>
      <c r="M104" s="121"/>
      <c r="N104" s="121"/>
      <c r="O104" s="121"/>
      <c r="P104" s="69"/>
      <c r="Q104" s="112"/>
      <c r="R104" s="138" t="s">
        <v>15</v>
      </c>
      <c r="S104" s="138"/>
      <c r="T104" s="124">
        <v>7500</v>
      </c>
      <c r="U104" s="124"/>
      <c r="V104" s="125">
        <v>17500</v>
      </c>
      <c r="W104" s="134">
        <v>2.2799999999999999E-3</v>
      </c>
      <c r="X104" s="125" t="str">
        <f>IF(Z4&gt;V104,"oui","non")</f>
        <v>non</v>
      </c>
      <c r="Y104" s="125">
        <f>IF(X104="oui",V104-V103,(Z4)-Y103)</f>
        <v>0</v>
      </c>
      <c r="Z104" s="127">
        <f t="shared" si="6"/>
        <v>0</v>
      </c>
      <c r="AA104" s="214"/>
      <c r="AB104" s="2"/>
      <c r="AC104" s="2"/>
      <c r="AF104" s="2"/>
      <c r="AG104" s="2"/>
      <c r="AH104" s="2"/>
      <c r="AI104" s="2"/>
      <c r="AJ104" s="2"/>
      <c r="AK104" s="2"/>
      <c r="AL104" s="2"/>
    </row>
    <row r="105" spans="2:38" s="14" customFormat="1" ht="18.75" hidden="1" customHeight="1" x14ac:dyDescent="0.25">
      <c r="B105" s="79"/>
      <c r="C105" s="116"/>
      <c r="D105" s="68"/>
      <c r="E105" s="105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69"/>
      <c r="Q105" s="112"/>
      <c r="R105" s="138"/>
      <c r="S105" s="138"/>
      <c r="T105" s="124">
        <v>17500</v>
      </c>
      <c r="U105" s="124"/>
      <c r="V105" s="125">
        <v>30000</v>
      </c>
      <c r="W105" s="141">
        <v>4.5600000000000003E-4</v>
      </c>
      <c r="X105" s="125" t="str">
        <f>IF(Z4&gt;V105,"oui","non")</f>
        <v>non</v>
      </c>
      <c r="Y105" s="125">
        <f>IF(X105="oui",V105-V104,(Z4)-Y104-Y103)</f>
        <v>0</v>
      </c>
      <c r="Z105" s="127">
        <f t="shared" si="6"/>
        <v>0</v>
      </c>
      <c r="AA105" s="214"/>
      <c r="AB105" s="2"/>
      <c r="AC105" s="2"/>
      <c r="AF105" s="2"/>
      <c r="AG105" s="2"/>
      <c r="AH105" s="2"/>
      <c r="AI105" s="2"/>
      <c r="AJ105" s="2"/>
      <c r="AK105" s="2"/>
      <c r="AL105" s="2"/>
    </row>
    <row r="106" spans="2:38" s="14" customFormat="1" ht="15.75" hidden="1" customHeight="1" x14ac:dyDescent="0.25">
      <c r="B106" s="79"/>
      <c r="C106" s="116"/>
      <c r="D106" s="68"/>
      <c r="E106" s="105"/>
      <c r="F106" s="121"/>
      <c r="G106" s="105"/>
      <c r="H106" s="105"/>
      <c r="I106" s="121"/>
      <c r="J106" s="121"/>
      <c r="K106" s="121"/>
      <c r="L106" s="121"/>
      <c r="M106" s="121"/>
      <c r="N106" s="121"/>
      <c r="O106" s="121"/>
      <c r="P106" s="69"/>
      <c r="Q106" s="112"/>
      <c r="R106" s="128"/>
      <c r="S106" s="128"/>
      <c r="T106" s="124">
        <v>30000</v>
      </c>
      <c r="U106" s="124"/>
      <c r="V106" s="125">
        <v>45495</v>
      </c>
      <c r="W106" s="140"/>
      <c r="X106" s="125" t="str">
        <f>IF(Z4&gt;V106,"oui","non")</f>
        <v>non</v>
      </c>
      <c r="Y106" s="169">
        <f>IF(X106="oui",V106-V105,(Z4)-Y105-Y104-Y103)</f>
        <v>0</v>
      </c>
      <c r="Z106" s="127">
        <f t="shared" si="6"/>
        <v>0</v>
      </c>
      <c r="AA106" s="214"/>
      <c r="AB106" s="2"/>
      <c r="AC106" s="2"/>
      <c r="AF106" s="2"/>
      <c r="AG106" s="2"/>
      <c r="AH106" s="2"/>
      <c r="AI106" s="2"/>
      <c r="AJ106" s="2"/>
      <c r="AK106" s="2"/>
      <c r="AL106" s="2"/>
    </row>
    <row r="107" spans="2:38" s="14" customFormat="1" ht="17.25" hidden="1" customHeight="1" x14ac:dyDescent="0.25">
      <c r="C107" s="36"/>
      <c r="D107" s="105"/>
      <c r="E107" s="105"/>
      <c r="F107" s="105"/>
      <c r="G107" s="121"/>
      <c r="H107" s="121"/>
      <c r="I107" s="121"/>
      <c r="J107" s="105"/>
      <c r="K107" s="105"/>
      <c r="L107" s="121"/>
      <c r="M107" s="105"/>
      <c r="N107" s="121"/>
      <c r="O107" s="121"/>
      <c r="P107" s="69"/>
      <c r="Q107" s="112"/>
      <c r="R107" s="128"/>
      <c r="S107" s="128"/>
      <c r="T107" s="124">
        <v>45495</v>
      </c>
      <c r="U107" s="124"/>
      <c r="V107" s="125">
        <v>64095</v>
      </c>
      <c r="W107" s="142">
        <v>3.9899999999999996E-3</v>
      </c>
      <c r="X107" s="125" t="str">
        <f>IF(Z4&gt;V107,"oui","non")</f>
        <v>non</v>
      </c>
      <c r="Y107" s="169">
        <f>IF(X107="oui",V107-V106,(Z4)-Y106-Y105-Y104-Y103)</f>
        <v>0</v>
      </c>
      <c r="Z107" s="127">
        <f t="shared" si="6"/>
        <v>0</v>
      </c>
      <c r="AA107" s="214"/>
      <c r="AB107" s="2"/>
      <c r="AC107" s="2"/>
      <c r="AF107" s="2"/>
      <c r="AG107" s="2"/>
      <c r="AH107" s="2"/>
      <c r="AI107" s="2"/>
      <c r="AJ107" s="2"/>
      <c r="AK107" s="2"/>
      <c r="AL107" s="2"/>
    </row>
    <row r="108" spans="2:38" s="14" customFormat="1" ht="17.25" hidden="1" customHeight="1" x14ac:dyDescent="0.25">
      <c r="B108" s="122"/>
      <c r="C108" s="116"/>
      <c r="D108" s="68"/>
      <c r="E108" s="35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69"/>
      <c r="Q108" s="112"/>
      <c r="R108" s="128"/>
      <c r="S108" s="128"/>
      <c r="T108" s="124">
        <v>64095</v>
      </c>
      <c r="U108" s="124"/>
      <c r="V108" s="125">
        <v>250095</v>
      </c>
      <c r="W108" s="142">
        <v>3.4199999999999999E-3</v>
      </c>
      <c r="X108" s="125" t="str">
        <f>IF(Z4&gt;V108,"oui","non")</f>
        <v>non</v>
      </c>
      <c r="Y108" s="169">
        <f>IF(X108="oui",V108-V107,(Z4)-Y107-Y106-Y105-Y104-Y103)</f>
        <v>0</v>
      </c>
      <c r="Z108" s="127">
        <f t="shared" si="6"/>
        <v>0</v>
      </c>
      <c r="AA108" s="214"/>
      <c r="AB108" s="2"/>
      <c r="AC108" s="2"/>
      <c r="AF108" s="2"/>
      <c r="AG108" s="2"/>
      <c r="AH108" s="2"/>
      <c r="AI108" s="2"/>
      <c r="AJ108" s="2"/>
      <c r="AK108" s="2"/>
      <c r="AL108" s="2"/>
    </row>
    <row r="109" spans="2:38" s="4" customFormat="1" ht="14.25" hidden="1" customHeight="1" x14ac:dyDescent="0.25">
      <c r="B109" s="79"/>
      <c r="C109" s="116"/>
      <c r="D109" s="68"/>
      <c r="E109" s="113"/>
      <c r="F109" s="121"/>
      <c r="G109" s="121"/>
      <c r="H109" s="121"/>
      <c r="I109" s="121"/>
      <c r="J109" s="121"/>
      <c r="K109" s="121"/>
      <c r="L109" s="105"/>
      <c r="M109" s="121"/>
      <c r="N109" s="105"/>
      <c r="O109" s="105"/>
      <c r="P109" s="69"/>
      <c r="Q109" s="112"/>
      <c r="R109" s="128"/>
      <c r="S109" s="128"/>
      <c r="T109" s="124">
        <v>250095</v>
      </c>
      <c r="U109" s="124"/>
      <c r="V109" s="125"/>
      <c r="W109" s="142">
        <v>2.2799999999999999E-3</v>
      </c>
      <c r="X109" s="125" t="s">
        <v>0</v>
      </c>
      <c r="Y109" s="169">
        <f>IF((H33+R20+Z8)&gt;=T109,(Z8)-V108,0)</f>
        <v>0</v>
      </c>
      <c r="Z109" s="127">
        <f>Y109*W113</f>
        <v>0</v>
      </c>
      <c r="AA109" s="214"/>
      <c r="AB109" s="2"/>
      <c r="AC109" s="14"/>
      <c r="AF109" s="14"/>
      <c r="AG109" s="14"/>
      <c r="AH109" s="14"/>
      <c r="AI109" s="14"/>
      <c r="AJ109" s="14"/>
      <c r="AK109" s="14"/>
      <c r="AL109" s="14"/>
    </row>
    <row r="110" spans="2:38" s="4" customFormat="1" ht="21.75" customHeight="1" x14ac:dyDescent="0.25">
      <c r="B110" s="79"/>
      <c r="C110" s="116"/>
      <c r="D110" s="68"/>
      <c r="E110" s="120"/>
      <c r="F110" s="121"/>
      <c r="G110" s="121"/>
      <c r="H110" s="121"/>
      <c r="I110" s="121"/>
      <c r="J110" s="121"/>
      <c r="K110" s="121"/>
      <c r="L110" s="121"/>
      <c r="M110" s="121"/>
      <c r="N110" s="121"/>
      <c r="O110" s="139"/>
      <c r="P110" s="122"/>
      <c r="Q110" s="92"/>
      <c r="R110" s="115"/>
      <c r="S110" s="115"/>
      <c r="T110" s="115"/>
      <c r="U110" s="115"/>
      <c r="V110" s="115"/>
      <c r="W110" s="168">
        <v>1.7099999999999999E-3</v>
      </c>
      <c r="X110" s="115"/>
      <c r="Y110" s="115"/>
      <c r="Z110" s="115"/>
      <c r="AA110" s="115"/>
      <c r="AB110" s="2"/>
      <c r="AC110" s="14"/>
      <c r="AF110" s="14"/>
      <c r="AG110" s="14"/>
      <c r="AH110" s="14"/>
      <c r="AI110" s="14"/>
      <c r="AJ110" s="14"/>
      <c r="AK110" s="14"/>
      <c r="AL110" s="14"/>
    </row>
    <row r="111" spans="2:38" s="4" customFormat="1" ht="15.75" customHeight="1" x14ac:dyDescent="0.25">
      <c r="B111" s="79"/>
      <c r="C111" s="116"/>
      <c r="D111" s="68"/>
      <c r="E111" s="120"/>
      <c r="F111" s="121"/>
      <c r="G111" s="121"/>
      <c r="H111" s="121"/>
      <c r="I111" s="121"/>
      <c r="J111" s="121"/>
      <c r="K111" s="121"/>
      <c r="L111" s="121"/>
      <c r="M111" s="121"/>
      <c r="N111" s="121"/>
      <c r="O111" s="139"/>
      <c r="P111" s="122"/>
      <c r="Q111" s="92"/>
      <c r="R111" s="115"/>
      <c r="S111" s="115"/>
      <c r="T111" s="115"/>
      <c r="U111" s="115"/>
      <c r="V111" s="115"/>
      <c r="W111" s="168">
        <v>1.14E-3</v>
      </c>
      <c r="X111" s="115"/>
      <c r="Y111" s="115"/>
      <c r="Z111" s="115"/>
      <c r="AA111" s="115"/>
      <c r="AB111" s="2"/>
      <c r="AC111" s="14"/>
      <c r="AF111" s="14"/>
      <c r="AG111" s="14"/>
      <c r="AH111" s="14"/>
      <c r="AI111" s="14"/>
      <c r="AJ111" s="14"/>
      <c r="AK111" s="14"/>
      <c r="AL111" s="14"/>
    </row>
    <row r="112" spans="2:38" s="4" customFormat="1" ht="15.75" customHeight="1" x14ac:dyDescent="0.25">
      <c r="B112" s="79"/>
      <c r="C112" s="116"/>
      <c r="D112" s="68"/>
      <c r="E112" s="120"/>
      <c r="F112" s="121"/>
      <c r="G112" s="121"/>
      <c r="H112" s="121"/>
      <c r="I112" s="105"/>
      <c r="J112" s="121"/>
      <c r="K112" s="121"/>
      <c r="L112" s="121"/>
      <c r="M112" s="121"/>
      <c r="N112" s="121"/>
      <c r="O112" s="139"/>
      <c r="P112" s="122"/>
      <c r="Q112" s="92"/>
      <c r="R112" s="115"/>
      <c r="S112" s="115"/>
      <c r="T112" s="115"/>
      <c r="U112" s="115"/>
      <c r="V112" s="115"/>
      <c r="W112" s="168">
        <v>5.6999999999999998E-4</v>
      </c>
      <c r="X112" s="115"/>
      <c r="Y112" s="115"/>
      <c r="Z112" s="115"/>
      <c r="AA112" s="115"/>
      <c r="AB112" s="2"/>
      <c r="AC112" s="14"/>
      <c r="AF112" s="14"/>
      <c r="AG112" s="14"/>
      <c r="AH112" s="14"/>
      <c r="AI112" s="14"/>
      <c r="AJ112" s="14"/>
      <c r="AK112" s="14"/>
      <c r="AL112" s="14"/>
    </row>
    <row r="113" spans="2:38" s="4" customFormat="1" ht="21.75" customHeight="1" x14ac:dyDescent="0.25">
      <c r="B113" s="79"/>
      <c r="C113" s="116"/>
      <c r="D113" s="68"/>
      <c r="E113" s="120"/>
      <c r="F113" s="121"/>
      <c r="G113" s="105"/>
      <c r="H113" s="105"/>
      <c r="I113" s="121"/>
      <c r="J113" s="121"/>
      <c r="K113" s="121"/>
      <c r="L113" s="121"/>
      <c r="M113" s="121"/>
      <c r="N113" s="121"/>
      <c r="O113" s="139"/>
      <c r="P113" s="122"/>
      <c r="Q113" s="33"/>
      <c r="R113" s="37"/>
      <c r="S113" s="37"/>
      <c r="T113" s="37"/>
      <c r="U113" s="37"/>
      <c r="V113" s="37"/>
      <c r="W113" s="168">
        <v>2.3000000000000001E-4</v>
      </c>
      <c r="X113" s="37"/>
      <c r="Y113" s="37"/>
      <c r="Z113" s="115"/>
      <c r="AA113" s="115"/>
      <c r="AB113" s="2"/>
      <c r="AC113" s="14"/>
      <c r="AF113" s="14"/>
      <c r="AG113" s="14"/>
      <c r="AH113" s="14"/>
      <c r="AI113" s="14"/>
      <c r="AJ113" s="14"/>
      <c r="AK113" s="14"/>
      <c r="AL113" s="14"/>
    </row>
    <row r="114" spans="2:38" s="4" customFormat="1" ht="13.5" customHeight="1" x14ac:dyDescent="0.25">
      <c r="B114" s="36"/>
      <c r="C114" s="36"/>
      <c r="D114" s="105"/>
      <c r="E114" s="120"/>
      <c r="F114" s="105"/>
      <c r="G114" s="139"/>
      <c r="H114" s="139"/>
      <c r="I114" s="121"/>
      <c r="J114" s="105"/>
      <c r="K114" s="105"/>
      <c r="L114" s="121"/>
      <c r="M114" s="105"/>
      <c r="N114" s="121"/>
      <c r="O114" s="33"/>
      <c r="P114" s="122"/>
      <c r="Q114" s="33"/>
      <c r="R114" s="37"/>
      <c r="S114" s="37"/>
      <c r="T114" s="37"/>
      <c r="U114" s="37"/>
      <c r="V114" s="37"/>
      <c r="W114" s="115"/>
      <c r="X114" s="37"/>
      <c r="Y114" s="37"/>
      <c r="Z114" s="37"/>
      <c r="AA114" s="37"/>
      <c r="AB114" s="2"/>
      <c r="AC114" s="14"/>
      <c r="AF114" s="14"/>
      <c r="AG114" s="14"/>
      <c r="AH114" s="14"/>
      <c r="AI114" s="14"/>
      <c r="AJ114" s="14"/>
      <c r="AK114" s="14"/>
      <c r="AL114" s="14"/>
    </row>
    <row r="115" spans="2:38" s="4" customFormat="1" ht="15" customHeight="1" x14ac:dyDescent="0.25">
      <c r="B115" s="36"/>
      <c r="C115" s="36"/>
      <c r="D115" s="105"/>
      <c r="F115" s="105"/>
      <c r="G115" s="139"/>
      <c r="H115" s="139"/>
      <c r="I115" s="121"/>
      <c r="J115" s="139"/>
      <c r="K115" s="139"/>
      <c r="L115" s="121"/>
      <c r="M115" s="139"/>
      <c r="N115" s="121"/>
      <c r="P115" s="33"/>
      <c r="Q115" s="33"/>
      <c r="R115" s="33"/>
      <c r="S115" s="166"/>
      <c r="T115" s="143"/>
      <c r="U115" s="33"/>
      <c r="V115" s="33"/>
      <c r="W115" s="115"/>
      <c r="X115" s="33"/>
      <c r="Y115" s="33"/>
      <c r="Z115" s="37"/>
      <c r="AA115" s="37"/>
      <c r="AB115" s="2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</row>
    <row r="116" spans="2:38" s="4" customFormat="1" ht="13.5" customHeight="1" x14ac:dyDescent="0.25">
      <c r="B116" s="116"/>
      <c r="C116" s="116"/>
      <c r="D116" s="33"/>
      <c r="F116" s="33"/>
      <c r="G116" s="113"/>
      <c r="H116" s="113"/>
      <c r="I116" s="121"/>
      <c r="J116" s="139"/>
      <c r="K116" s="139"/>
      <c r="L116" s="105"/>
      <c r="M116" s="113"/>
      <c r="N116" s="105"/>
      <c r="P116" s="33"/>
      <c r="Q116" s="33"/>
      <c r="R116" s="33"/>
      <c r="S116" s="166"/>
      <c r="T116" s="143"/>
      <c r="U116" s="33"/>
      <c r="V116" s="33"/>
      <c r="W116" s="115"/>
      <c r="X116" s="33"/>
      <c r="Y116" s="33"/>
      <c r="Z116" s="37"/>
      <c r="AA116" s="37"/>
      <c r="AB116" s="2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</row>
    <row r="117" spans="2:38" s="4" customFormat="1" ht="14.25" customHeight="1" x14ac:dyDescent="0.25">
      <c r="B117" s="116"/>
      <c r="C117" s="116"/>
      <c r="D117" s="33"/>
      <c r="F117" s="33"/>
      <c r="G117" s="113"/>
      <c r="H117" s="113"/>
      <c r="I117" s="121"/>
      <c r="J117" s="139"/>
      <c r="K117" s="139"/>
      <c r="L117" s="139"/>
      <c r="M117" s="113"/>
      <c r="N117" s="139"/>
      <c r="P117" s="33"/>
      <c r="Q117" s="33"/>
      <c r="R117" s="33"/>
      <c r="S117" s="166"/>
      <c r="T117" s="143"/>
      <c r="U117" s="33"/>
      <c r="V117" s="33"/>
      <c r="W117" s="37"/>
      <c r="X117" s="33"/>
      <c r="Y117" s="33"/>
      <c r="Z117" s="33"/>
      <c r="AA117" s="33"/>
      <c r="AB117" s="2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</row>
    <row r="118" spans="2:38" s="4" customFormat="1" ht="17.25" customHeight="1" x14ac:dyDescent="0.25">
      <c r="B118" s="116"/>
      <c r="C118" s="116"/>
      <c r="D118" s="33"/>
      <c r="F118" s="33"/>
      <c r="G118" s="113"/>
      <c r="H118" s="113"/>
      <c r="I118" s="121"/>
      <c r="J118" s="113"/>
      <c r="K118" s="113"/>
      <c r="L118" s="113"/>
      <c r="M118" s="113"/>
      <c r="N118" s="113"/>
      <c r="P118" s="33"/>
      <c r="Q118" s="33"/>
      <c r="R118" s="33"/>
      <c r="S118" s="166"/>
      <c r="T118" s="143"/>
      <c r="U118" s="33"/>
      <c r="V118" s="33"/>
      <c r="W118" s="37"/>
      <c r="X118" s="33"/>
      <c r="Y118" s="33"/>
      <c r="Z118" s="33"/>
      <c r="AA118" s="33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</row>
    <row r="119" spans="2:38" s="4" customFormat="1" ht="15.75" customHeight="1" x14ac:dyDescent="0.25">
      <c r="B119" s="116"/>
      <c r="C119" s="116"/>
      <c r="D119" s="33"/>
      <c r="F119" s="33"/>
      <c r="G119" s="113"/>
      <c r="H119" s="113"/>
      <c r="I119" s="105"/>
      <c r="J119" s="113"/>
      <c r="K119" s="113"/>
      <c r="L119" s="113"/>
      <c r="M119" s="113"/>
      <c r="N119" s="113"/>
      <c r="P119" s="33"/>
      <c r="Q119" s="33"/>
      <c r="R119" s="33"/>
      <c r="S119" s="166"/>
      <c r="T119" s="143"/>
      <c r="U119" s="33"/>
      <c r="V119" s="33"/>
      <c r="W119" s="113"/>
      <c r="X119" s="33"/>
      <c r="Y119" s="33"/>
      <c r="Z119" s="33"/>
      <c r="AA119" s="33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</row>
    <row r="120" spans="2:38" s="4" customFormat="1" ht="18" customHeight="1" x14ac:dyDescent="0.25">
      <c r="B120" s="116"/>
      <c r="C120" s="116"/>
      <c r="D120" s="33"/>
      <c r="F120" s="33"/>
      <c r="G120" s="33"/>
      <c r="H120" s="33"/>
      <c r="I120" s="139"/>
      <c r="J120" s="113"/>
      <c r="K120" s="113"/>
      <c r="L120" s="113"/>
      <c r="M120" s="113"/>
      <c r="N120" s="113"/>
      <c r="P120" s="33"/>
      <c r="Q120" s="33"/>
      <c r="R120" s="33"/>
      <c r="S120" s="166"/>
      <c r="T120" s="143"/>
      <c r="U120" s="33"/>
      <c r="V120" s="33"/>
      <c r="W120" s="113"/>
      <c r="X120" s="33"/>
      <c r="Y120" s="33"/>
      <c r="Z120" s="33"/>
      <c r="AA120" s="33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</row>
    <row r="121" spans="2:38" s="4" customFormat="1" ht="19.5" customHeight="1" x14ac:dyDescent="0.25">
      <c r="I121" s="139"/>
      <c r="J121" s="33"/>
      <c r="K121" s="33"/>
      <c r="L121" s="113"/>
      <c r="M121" s="33"/>
      <c r="N121" s="113"/>
      <c r="P121" s="33"/>
      <c r="Q121" s="33"/>
      <c r="R121" s="33"/>
      <c r="S121" s="166"/>
      <c r="T121" s="143"/>
      <c r="U121" s="33"/>
      <c r="V121" s="33"/>
      <c r="W121" s="113"/>
      <c r="X121" s="33"/>
      <c r="Y121" s="33"/>
      <c r="Z121" s="33"/>
      <c r="AA121" s="33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</row>
    <row r="122" spans="2:38" s="145" customFormat="1" ht="15.75" customHeight="1" x14ac:dyDescent="0.25">
      <c r="B122" s="4"/>
      <c r="C122" s="4"/>
      <c r="D122" s="4"/>
      <c r="E122" s="4"/>
      <c r="F122" s="4"/>
      <c r="G122" s="4"/>
      <c r="H122" s="4"/>
      <c r="I122" s="113"/>
      <c r="J122" s="4"/>
      <c r="K122" s="4"/>
      <c r="L122" s="113"/>
      <c r="M122" s="33"/>
      <c r="N122" s="113"/>
      <c r="O122" s="4"/>
      <c r="P122" s="33"/>
      <c r="Q122" s="33"/>
      <c r="R122" s="33"/>
      <c r="S122" s="166"/>
      <c r="T122" s="143"/>
      <c r="U122" s="33"/>
      <c r="V122" s="33"/>
      <c r="W122" s="113"/>
      <c r="X122" s="33"/>
      <c r="Y122" s="33"/>
      <c r="Z122" s="33"/>
      <c r="AA122" s="33"/>
      <c r="AB122" s="14"/>
      <c r="AC122" s="144"/>
      <c r="AD122" s="144"/>
      <c r="AE122" s="144"/>
      <c r="AF122" s="144"/>
      <c r="AG122" s="144"/>
      <c r="AH122" s="144"/>
      <c r="AI122" s="144"/>
      <c r="AJ122" s="144"/>
      <c r="AK122" s="144"/>
      <c r="AL122" s="144"/>
    </row>
    <row r="123" spans="2:38" s="145" customFormat="1" ht="20.100000000000001" customHeight="1" x14ac:dyDescent="0.25">
      <c r="B123" s="4"/>
      <c r="C123" s="4"/>
      <c r="D123" s="4"/>
      <c r="E123" s="4"/>
      <c r="F123" s="4"/>
      <c r="G123" s="4"/>
      <c r="H123" s="4"/>
      <c r="I123" s="113"/>
      <c r="J123" s="4"/>
      <c r="K123" s="4"/>
      <c r="L123" s="33"/>
      <c r="M123" s="33"/>
      <c r="N123" s="33"/>
      <c r="P123" s="33"/>
      <c r="Q123" s="33"/>
      <c r="R123" s="33"/>
      <c r="S123" s="166"/>
      <c r="T123" s="143"/>
      <c r="U123" s="33"/>
      <c r="V123" s="33"/>
      <c r="W123" s="113"/>
      <c r="X123" s="33"/>
      <c r="Y123" s="33"/>
      <c r="Z123" s="33"/>
      <c r="AA123" s="33"/>
      <c r="AB123" s="14"/>
      <c r="AC123" s="144"/>
      <c r="AD123" s="144"/>
      <c r="AE123" s="144"/>
      <c r="AF123" s="144"/>
      <c r="AG123" s="144"/>
      <c r="AH123" s="144"/>
      <c r="AI123" s="144"/>
      <c r="AJ123" s="144"/>
      <c r="AK123" s="144"/>
      <c r="AL123" s="144"/>
    </row>
    <row r="124" spans="2:38" s="145" customFormat="1" ht="20.100000000000001" customHeight="1" x14ac:dyDescent="0.25">
      <c r="B124" s="4"/>
      <c r="C124" s="4"/>
      <c r="D124" s="4"/>
      <c r="E124" s="4"/>
      <c r="F124" s="4"/>
      <c r="G124" s="4"/>
      <c r="H124" s="4"/>
      <c r="I124" s="113"/>
      <c r="J124" s="4"/>
      <c r="K124" s="4"/>
      <c r="L124" s="33"/>
      <c r="M124" s="33"/>
      <c r="N124" s="33"/>
      <c r="P124" s="33"/>
      <c r="Q124" s="33"/>
      <c r="R124" s="33"/>
      <c r="S124" s="166"/>
      <c r="T124" s="143"/>
      <c r="U124" s="33"/>
      <c r="V124" s="33"/>
      <c r="W124" s="113"/>
      <c r="X124" s="33"/>
      <c r="Y124" s="33"/>
      <c r="Z124" s="33"/>
      <c r="AA124" s="33"/>
      <c r="AB124" s="4"/>
      <c r="AC124" s="144"/>
      <c r="AD124" s="144"/>
      <c r="AE124" s="144"/>
      <c r="AF124" s="144"/>
      <c r="AG124" s="144"/>
      <c r="AH124" s="144"/>
      <c r="AI124" s="144"/>
      <c r="AJ124" s="144"/>
      <c r="AK124" s="144"/>
      <c r="AL124" s="144"/>
    </row>
    <row r="125" spans="2:38" s="145" customFormat="1" ht="20.100000000000001" customHeight="1" x14ac:dyDescent="0.25">
      <c r="B125" s="4"/>
      <c r="C125" s="4"/>
      <c r="D125" s="4"/>
      <c r="E125" s="4"/>
      <c r="F125" s="4"/>
      <c r="G125" s="4"/>
      <c r="H125" s="4"/>
      <c r="I125" s="113"/>
      <c r="J125" s="4"/>
      <c r="K125" s="4"/>
      <c r="L125" s="33"/>
      <c r="M125" s="33"/>
      <c r="N125" s="33"/>
      <c r="P125" s="33"/>
      <c r="Q125" s="33"/>
      <c r="R125" s="33"/>
      <c r="S125" s="166"/>
      <c r="T125" s="143"/>
      <c r="U125" s="33"/>
      <c r="V125" s="33"/>
      <c r="W125" s="113"/>
      <c r="X125" s="33"/>
      <c r="Y125" s="33"/>
      <c r="Z125" s="33"/>
      <c r="AA125" s="33"/>
      <c r="AB125" s="4"/>
      <c r="AC125" s="144"/>
      <c r="AD125" s="144"/>
      <c r="AE125" s="144"/>
      <c r="AF125" s="144"/>
      <c r="AG125" s="144"/>
      <c r="AH125" s="144"/>
      <c r="AI125" s="144"/>
      <c r="AJ125" s="144"/>
      <c r="AK125" s="144"/>
      <c r="AL125" s="144"/>
    </row>
    <row r="126" spans="2:38" s="145" customFormat="1" ht="20.100000000000001" customHeight="1" x14ac:dyDescent="0.25">
      <c r="B126" s="4"/>
      <c r="C126" s="4"/>
      <c r="D126" s="4"/>
      <c r="E126" s="4"/>
      <c r="F126" s="4"/>
      <c r="G126" s="4"/>
      <c r="H126" s="4"/>
      <c r="I126" s="33"/>
      <c r="J126" s="4"/>
      <c r="K126" s="4"/>
      <c r="L126" s="33"/>
      <c r="M126" s="33"/>
      <c r="N126" s="33"/>
      <c r="P126" s="4"/>
      <c r="Q126" s="33"/>
      <c r="R126" s="4"/>
      <c r="S126" s="4"/>
      <c r="T126" s="4"/>
      <c r="U126" s="4"/>
      <c r="V126" s="4"/>
      <c r="W126" s="113"/>
      <c r="X126" s="4"/>
      <c r="Y126" s="4"/>
      <c r="Z126" s="33"/>
      <c r="AA126" s="33"/>
      <c r="AB126" s="4"/>
      <c r="AC126" s="144"/>
      <c r="AD126" s="144"/>
      <c r="AE126" s="144"/>
      <c r="AF126" s="144"/>
      <c r="AG126" s="144"/>
      <c r="AH126" s="144"/>
      <c r="AI126" s="144"/>
      <c r="AJ126" s="144"/>
      <c r="AK126" s="144"/>
      <c r="AL126" s="144"/>
    </row>
    <row r="127" spans="2:38" ht="20.100000000000001" customHeight="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33"/>
      <c r="M127" s="33"/>
      <c r="N127" s="33"/>
      <c r="O127" s="145"/>
      <c r="P127" s="4"/>
      <c r="Q127" s="166"/>
      <c r="R127" s="4"/>
      <c r="S127" s="4"/>
      <c r="T127" s="4"/>
      <c r="U127" s="4"/>
      <c r="V127" s="4"/>
      <c r="W127" s="113"/>
      <c r="X127" s="4"/>
      <c r="Y127" s="4"/>
      <c r="Z127" s="33"/>
      <c r="AA127" s="33"/>
      <c r="AB127" s="4"/>
      <c r="AC127" s="144"/>
      <c r="AD127" s="144"/>
      <c r="AE127" s="144"/>
      <c r="AF127" s="144"/>
      <c r="AG127" s="144"/>
      <c r="AH127" s="144"/>
      <c r="AI127" s="144"/>
      <c r="AJ127" s="144"/>
      <c r="AK127" s="144"/>
      <c r="AL127" s="144"/>
    </row>
    <row r="128" spans="2:38" ht="20.100000000000001" customHeight="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33"/>
      <c r="M128" s="4"/>
      <c r="N128" s="33"/>
      <c r="O128" s="145"/>
      <c r="P128" s="4"/>
      <c r="Q128" s="166"/>
      <c r="R128" s="4"/>
      <c r="S128" s="4"/>
      <c r="T128" s="4"/>
      <c r="U128" s="4"/>
      <c r="V128" s="4"/>
      <c r="W128" s="113"/>
      <c r="X128" s="4"/>
      <c r="Y128" s="4"/>
      <c r="Z128" s="4"/>
      <c r="AA128" s="4"/>
      <c r="AB128" s="4"/>
      <c r="AC128" s="144"/>
      <c r="AD128" s="144"/>
      <c r="AE128" s="144"/>
      <c r="AF128" s="144"/>
      <c r="AG128" s="144"/>
      <c r="AH128" s="144"/>
      <c r="AI128" s="144"/>
      <c r="AJ128" s="144"/>
      <c r="AK128" s="144"/>
      <c r="AL128" s="144"/>
    </row>
    <row r="129" spans="2:38" ht="20.100000000000001" customHeight="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33"/>
      <c r="M129" s="4"/>
      <c r="N129" s="33"/>
      <c r="O129" s="145"/>
      <c r="P129" s="4"/>
      <c r="Q129" s="166"/>
      <c r="R129" s="4"/>
      <c r="S129" s="4"/>
      <c r="T129" s="4"/>
      <c r="U129" s="4"/>
      <c r="V129" s="4"/>
      <c r="W129" s="113"/>
      <c r="X129" s="4"/>
      <c r="Y129" s="4"/>
      <c r="Z129" s="4"/>
      <c r="AA129" s="4"/>
      <c r="AB129" s="4"/>
      <c r="AC129" s="144"/>
      <c r="AD129" s="144"/>
      <c r="AE129" s="144"/>
      <c r="AF129" s="144"/>
      <c r="AG129" s="144"/>
      <c r="AH129" s="144"/>
      <c r="AI129" s="144"/>
      <c r="AJ129" s="144"/>
      <c r="AK129" s="144"/>
      <c r="AL129" s="144"/>
    </row>
    <row r="130" spans="2:38" ht="20.100000000000001" customHeight="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145"/>
      <c r="P130" s="4"/>
      <c r="Q130" s="166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144"/>
      <c r="AD130" s="144"/>
      <c r="AE130" s="144"/>
      <c r="AF130" s="144"/>
      <c r="AG130" s="144"/>
      <c r="AH130" s="144"/>
      <c r="AI130" s="144"/>
      <c r="AJ130" s="144"/>
      <c r="AK130" s="144"/>
      <c r="AL130" s="144"/>
    </row>
    <row r="131" spans="2:38" ht="20.100000000000001" customHeight="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145"/>
      <c r="P131" s="4"/>
      <c r="Q131" s="166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144"/>
      <c r="AD131" s="144"/>
      <c r="AE131" s="144"/>
      <c r="AF131" s="144"/>
      <c r="AG131" s="144"/>
      <c r="AH131" s="144"/>
      <c r="AI131" s="144"/>
      <c r="AJ131" s="144"/>
      <c r="AK131" s="144"/>
      <c r="AL131" s="144"/>
    </row>
    <row r="132" spans="2:38" ht="20.100000000000001" customHeight="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145"/>
      <c r="P132" s="4"/>
      <c r="Q132" s="166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144"/>
      <c r="AD132" s="144"/>
      <c r="AE132" s="144"/>
      <c r="AF132" s="144"/>
      <c r="AG132" s="144"/>
      <c r="AH132" s="144"/>
      <c r="AI132" s="144"/>
      <c r="AJ132" s="144"/>
      <c r="AK132" s="144"/>
      <c r="AL132" s="144"/>
    </row>
    <row r="133" spans="2:38" ht="20.100000000000001" customHeight="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145"/>
      <c r="P133" s="4"/>
      <c r="Q133" s="166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</row>
    <row r="134" spans="2:38" ht="20.100000000000001" customHeight="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145"/>
      <c r="P134" s="145"/>
      <c r="Q134" s="101"/>
      <c r="R134" s="145"/>
      <c r="S134" s="145"/>
      <c r="T134" s="145"/>
      <c r="U134" s="145"/>
      <c r="V134" s="145"/>
      <c r="W134" s="4"/>
      <c r="X134" s="145"/>
      <c r="Y134" s="145"/>
      <c r="Z134" s="4"/>
      <c r="AA134" s="4"/>
      <c r="AB134" s="4"/>
      <c r="AC134" s="144"/>
      <c r="AD134" s="144"/>
      <c r="AE134" s="144"/>
      <c r="AF134" s="144"/>
      <c r="AG134" s="144"/>
      <c r="AH134" s="144"/>
      <c r="AI134" s="144"/>
      <c r="AJ134" s="144"/>
      <c r="AK134" s="144"/>
      <c r="AL134" s="144"/>
    </row>
    <row r="135" spans="2:38" ht="20.100000000000001" customHeight="1" x14ac:dyDescent="0.25">
      <c r="B135" s="145"/>
      <c r="C135" s="145"/>
      <c r="D135" s="145"/>
      <c r="E135" s="145"/>
      <c r="F135" s="145"/>
      <c r="G135" s="145"/>
      <c r="H135" s="145"/>
      <c r="I135" s="4"/>
      <c r="J135" s="4"/>
      <c r="K135" s="4"/>
      <c r="L135" s="4"/>
      <c r="M135" s="4"/>
      <c r="N135" s="4"/>
      <c r="O135" s="145"/>
      <c r="P135" s="145"/>
      <c r="Q135" s="101"/>
      <c r="R135" s="145"/>
      <c r="S135" s="145"/>
      <c r="T135" s="145"/>
      <c r="U135" s="145"/>
      <c r="V135" s="145"/>
      <c r="W135" s="4"/>
      <c r="X135" s="145"/>
      <c r="Y135" s="145"/>
      <c r="Z135" s="4"/>
      <c r="AA135" s="4"/>
      <c r="AB135" s="4"/>
      <c r="AC135" s="144"/>
      <c r="AD135" s="144"/>
      <c r="AE135" s="144"/>
      <c r="AF135" s="144"/>
      <c r="AG135" s="144"/>
      <c r="AH135" s="144"/>
      <c r="AI135" s="144"/>
      <c r="AJ135" s="144"/>
      <c r="AK135" s="144"/>
      <c r="AL135" s="144"/>
    </row>
    <row r="136" spans="2:38" ht="20.100000000000001" customHeight="1" x14ac:dyDescent="0.25">
      <c r="B136" s="145"/>
      <c r="C136" s="145"/>
      <c r="D136" s="145"/>
      <c r="E136" s="145"/>
      <c r="F136" s="145"/>
      <c r="G136" s="145"/>
      <c r="H136" s="145"/>
      <c r="I136" s="4"/>
      <c r="J136" s="145"/>
      <c r="K136" s="145"/>
      <c r="L136" s="4"/>
      <c r="M136" s="145"/>
      <c r="N136" s="4"/>
      <c r="O136" s="145"/>
      <c r="P136" s="145"/>
      <c r="Q136" s="101"/>
      <c r="R136" s="145"/>
      <c r="S136" s="145"/>
      <c r="T136" s="145"/>
      <c r="U136" s="145"/>
      <c r="V136" s="145"/>
      <c r="W136" s="4"/>
      <c r="X136" s="145"/>
      <c r="Y136" s="145"/>
      <c r="Z136" s="145"/>
      <c r="AA136" s="145"/>
      <c r="AB136" s="4"/>
      <c r="AC136" s="144"/>
      <c r="AD136" s="144"/>
      <c r="AE136" s="144"/>
      <c r="AF136" s="144"/>
      <c r="AG136" s="144"/>
      <c r="AH136" s="144"/>
      <c r="AI136" s="144"/>
      <c r="AJ136" s="144"/>
      <c r="AK136" s="144"/>
      <c r="AL136" s="144"/>
    </row>
    <row r="137" spans="2:38" ht="20.100000000000001" customHeight="1" x14ac:dyDescent="0.25">
      <c r="B137" s="145"/>
      <c r="C137" s="145"/>
      <c r="D137" s="145"/>
      <c r="E137" s="145"/>
      <c r="F137" s="145"/>
      <c r="G137" s="145"/>
      <c r="H137" s="145"/>
      <c r="I137" s="4"/>
      <c r="J137" s="145"/>
      <c r="K137" s="145"/>
      <c r="L137" s="4"/>
      <c r="M137" s="145"/>
      <c r="N137" s="4"/>
      <c r="O137" s="145"/>
      <c r="P137" s="145"/>
      <c r="Q137" s="101"/>
      <c r="R137" s="145"/>
      <c r="S137" s="145"/>
      <c r="T137" s="145"/>
      <c r="U137" s="145"/>
      <c r="V137" s="145"/>
      <c r="W137" s="4"/>
      <c r="X137" s="145"/>
      <c r="Y137" s="145"/>
      <c r="Z137" s="145"/>
      <c r="AA137" s="145"/>
      <c r="AB137" s="4"/>
      <c r="AC137" s="144"/>
      <c r="AD137" s="144"/>
      <c r="AE137" s="144"/>
      <c r="AF137" s="144"/>
      <c r="AG137" s="144"/>
      <c r="AH137" s="144"/>
      <c r="AI137" s="144"/>
      <c r="AJ137" s="144"/>
      <c r="AK137" s="144"/>
      <c r="AL137" s="144"/>
    </row>
    <row r="138" spans="2:38" ht="20.100000000000001" customHeight="1" x14ac:dyDescent="0.25">
      <c r="B138" s="145"/>
      <c r="C138" s="145"/>
      <c r="D138" s="145"/>
      <c r="E138" s="145"/>
      <c r="F138" s="145"/>
      <c r="G138" s="145"/>
      <c r="H138" s="145"/>
      <c r="I138" s="4"/>
      <c r="J138" s="145"/>
      <c r="K138" s="145"/>
      <c r="L138" s="145"/>
      <c r="M138" s="145"/>
      <c r="N138" s="145"/>
      <c r="O138" s="145"/>
      <c r="P138" s="145"/>
      <c r="Q138" s="101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4"/>
      <c r="AC138" s="144"/>
      <c r="AD138" s="144"/>
      <c r="AE138" s="144"/>
      <c r="AF138" s="144"/>
      <c r="AG138" s="144"/>
      <c r="AH138" s="144"/>
      <c r="AI138" s="144"/>
      <c r="AJ138" s="144"/>
      <c r="AK138" s="144"/>
      <c r="AL138" s="144"/>
    </row>
    <row r="139" spans="2:38" ht="20.100000000000001" customHeight="1" x14ac:dyDescent="0.25">
      <c r="B139" s="145"/>
      <c r="C139" s="145"/>
      <c r="D139" s="145"/>
      <c r="E139" s="145"/>
      <c r="F139" s="145"/>
      <c r="G139" s="145"/>
      <c r="H139" s="145"/>
      <c r="I139" s="4"/>
      <c r="J139" s="145"/>
      <c r="K139" s="145"/>
      <c r="L139" s="145"/>
      <c r="M139" s="145"/>
      <c r="N139" s="145"/>
      <c r="O139" s="145"/>
      <c r="P139" s="145"/>
      <c r="Q139" s="101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4"/>
      <c r="AD139" s="144"/>
      <c r="AE139" s="144"/>
      <c r="AF139" s="144"/>
      <c r="AG139" s="144"/>
      <c r="AH139" s="144"/>
      <c r="AI139" s="144"/>
      <c r="AJ139" s="144"/>
      <c r="AK139" s="144"/>
      <c r="AL139" s="144"/>
    </row>
    <row r="140" spans="2:38" ht="20.100000000000001" customHeight="1" x14ac:dyDescent="0.25">
      <c r="B140" s="145"/>
      <c r="C140" s="145"/>
      <c r="D140" s="145"/>
      <c r="E140" s="145"/>
      <c r="F140" s="145"/>
      <c r="G140" s="145"/>
      <c r="H140" s="145"/>
      <c r="I140" s="4"/>
      <c r="J140" s="145"/>
      <c r="K140" s="145"/>
      <c r="L140" s="145"/>
      <c r="M140" s="145"/>
      <c r="N140" s="145"/>
      <c r="O140" s="145"/>
      <c r="P140" s="145"/>
      <c r="Q140" s="101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4"/>
      <c r="AD140" s="144"/>
      <c r="AE140" s="144"/>
      <c r="AF140" s="144"/>
      <c r="AG140" s="144"/>
      <c r="AH140" s="144"/>
      <c r="AI140" s="144"/>
      <c r="AJ140" s="144"/>
      <c r="AK140" s="144"/>
      <c r="AL140" s="144"/>
    </row>
    <row r="141" spans="2:38" ht="20.100000000000001" customHeight="1" x14ac:dyDescent="0.25"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01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4"/>
      <c r="AD141" s="144"/>
      <c r="AE141" s="144"/>
      <c r="AF141" s="144"/>
      <c r="AG141" s="144"/>
      <c r="AH141" s="144"/>
      <c r="AI141" s="144"/>
      <c r="AJ141" s="144"/>
      <c r="AK141" s="144"/>
      <c r="AL141" s="144"/>
    </row>
    <row r="142" spans="2:38" ht="20.100000000000001" customHeight="1" x14ac:dyDescent="0.25"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01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4"/>
      <c r="AD142" s="144"/>
      <c r="AE142" s="144"/>
      <c r="AF142" s="144"/>
      <c r="AG142" s="144"/>
      <c r="AH142" s="144"/>
      <c r="AI142" s="144"/>
      <c r="AJ142" s="144"/>
      <c r="AK142" s="144"/>
      <c r="AL142" s="144"/>
    </row>
    <row r="143" spans="2:38" ht="20.100000000000001" customHeight="1" x14ac:dyDescent="0.25"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01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4"/>
      <c r="AD143" s="144"/>
      <c r="AE143" s="144"/>
      <c r="AF143" s="144"/>
      <c r="AG143" s="144"/>
      <c r="AH143" s="144"/>
      <c r="AI143" s="144"/>
      <c r="AJ143" s="144"/>
      <c r="AK143" s="144"/>
      <c r="AL143" s="144"/>
    </row>
    <row r="144" spans="2:38" ht="20.100000000000001" customHeight="1" x14ac:dyDescent="0.25"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01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4"/>
      <c r="AD144" s="144"/>
      <c r="AE144" s="144"/>
      <c r="AF144" s="144"/>
      <c r="AG144" s="144"/>
      <c r="AH144" s="144"/>
      <c r="AI144" s="144"/>
      <c r="AJ144" s="144"/>
      <c r="AK144" s="144"/>
      <c r="AL144" s="144"/>
    </row>
    <row r="145" spans="2:38" ht="20.100000000000001" customHeight="1" x14ac:dyDescent="0.25"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01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4"/>
      <c r="AD145" s="144"/>
      <c r="AE145" s="144"/>
      <c r="AF145" s="144"/>
      <c r="AG145" s="144"/>
      <c r="AH145" s="144"/>
      <c r="AI145" s="144"/>
      <c r="AJ145" s="144"/>
      <c r="AK145" s="144"/>
      <c r="AL145" s="144"/>
    </row>
    <row r="146" spans="2:38" ht="20.100000000000001" customHeight="1" x14ac:dyDescent="0.25"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01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4"/>
      <c r="AD146" s="144"/>
      <c r="AE146" s="144"/>
      <c r="AF146" s="144"/>
      <c r="AG146" s="144"/>
      <c r="AH146" s="144"/>
      <c r="AI146" s="144"/>
      <c r="AJ146" s="144"/>
      <c r="AK146" s="144"/>
      <c r="AL146" s="144"/>
    </row>
    <row r="147" spans="2:38" ht="20.100000000000001" customHeight="1" x14ac:dyDescent="0.25"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01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4"/>
      <c r="AD147" s="144"/>
      <c r="AE147" s="144"/>
      <c r="AF147" s="144"/>
      <c r="AG147" s="144"/>
      <c r="AH147" s="144"/>
      <c r="AI147" s="144"/>
      <c r="AJ147" s="144"/>
      <c r="AK147" s="144"/>
      <c r="AL147" s="144"/>
    </row>
    <row r="148" spans="2:38" ht="20.100000000000001" customHeight="1" x14ac:dyDescent="0.25"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01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</row>
    <row r="149" spans="2:38" ht="20.100000000000001" customHeight="1" x14ac:dyDescent="0.25"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01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</row>
    <row r="150" spans="2:38" ht="20.100000000000001" customHeight="1" x14ac:dyDescent="0.25"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01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</row>
    <row r="151" spans="2:38" ht="20.100000000000001" customHeight="1" x14ac:dyDescent="0.25"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01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</row>
    <row r="152" spans="2:38" ht="20.100000000000001" customHeight="1" x14ac:dyDescent="0.25"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01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</row>
    <row r="153" spans="2:38" ht="20.100000000000001" customHeight="1" x14ac:dyDescent="0.25"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01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</row>
    <row r="154" spans="2:38" ht="20.100000000000001" customHeight="1" x14ac:dyDescent="0.25"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01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</row>
    <row r="155" spans="2:38" ht="20.100000000000001" customHeight="1" x14ac:dyDescent="0.25"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01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</row>
    <row r="156" spans="2:38" ht="20.100000000000001" customHeight="1" x14ac:dyDescent="0.25"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01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</row>
    <row r="157" spans="2:38" ht="20.100000000000001" customHeight="1" x14ac:dyDescent="0.25"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01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</row>
    <row r="158" spans="2:38" ht="20.100000000000001" customHeight="1" x14ac:dyDescent="0.25"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01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</row>
    <row r="159" spans="2:38" ht="20.100000000000001" customHeight="1" x14ac:dyDescent="0.25"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01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</row>
    <row r="160" spans="2:38" ht="20.100000000000001" customHeight="1" x14ac:dyDescent="0.25"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01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</row>
    <row r="161" spans="2:38" ht="20.100000000000001" customHeight="1" x14ac:dyDescent="0.25"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01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</row>
    <row r="162" spans="2:38" ht="20.100000000000001" customHeight="1" x14ac:dyDescent="0.25"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01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</row>
    <row r="163" spans="2:38" ht="20.100000000000001" customHeight="1" x14ac:dyDescent="0.25"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01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</row>
    <row r="164" spans="2:38" ht="20.100000000000001" customHeight="1" x14ac:dyDescent="0.25"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01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</row>
    <row r="165" spans="2:38" ht="20.100000000000001" customHeight="1" x14ac:dyDescent="0.25"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01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</row>
    <row r="166" spans="2:38" ht="20.100000000000001" customHeight="1" x14ac:dyDescent="0.25"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01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</row>
    <row r="167" spans="2:38" ht="20.100000000000001" customHeight="1" x14ac:dyDescent="0.25"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01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</row>
    <row r="168" spans="2:38" ht="20.100000000000001" customHeight="1" x14ac:dyDescent="0.25"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01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</row>
    <row r="169" spans="2:38" ht="20.100000000000001" customHeight="1" x14ac:dyDescent="0.25"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01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</row>
    <row r="170" spans="2:38" ht="20.100000000000001" customHeight="1" x14ac:dyDescent="0.25"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01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</row>
    <row r="171" spans="2:38" ht="20.100000000000001" customHeight="1" x14ac:dyDescent="0.25"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01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</row>
    <row r="172" spans="2:38" ht="20.100000000000001" customHeight="1" x14ac:dyDescent="0.25"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01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</row>
    <row r="173" spans="2:38" ht="20.100000000000001" customHeight="1" x14ac:dyDescent="0.25"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01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</row>
    <row r="174" spans="2:38" ht="20.100000000000001" customHeight="1" x14ac:dyDescent="0.25"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01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</row>
    <row r="175" spans="2:38" ht="20.100000000000001" customHeight="1" x14ac:dyDescent="0.25"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01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</row>
    <row r="176" spans="2:38" ht="20.100000000000001" customHeight="1" x14ac:dyDescent="0.25"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01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</row>
    <row r="177" spans="2:38" ht="20.100000000000001" customHeight="1" x14ac:dyDescent="0.25"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01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</row>
    <row r="178" spans="2:38" ht="20.100000000000001" customHeight="1" x14ac:dyDescent="0.25"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01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</row>
    <row r="179" spans="2:38" ht="20.100000000000001" customHeight="1" x14ac:dyDescent="0.25"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01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</row>
    <row r="180" spans="2:38" ht="20.100000000000001" customHeight="1" x14ac:dyDescent="0.25"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01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</row>
    <row r="181" spans="2:38" ht="20.100000000000001" customHeight="1" x14ac:dyDescent="0.25"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01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</row>
    <row r="182" spans="2:38" ht="20.100000000000001" customHeight="1" x14ac:dyDescent="0.25"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01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</row>
    <row r="183" spans="2:38" ht="20.100000000000001" customHeight="1" x14ac:dyDescent="0.25"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01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</row>
    <row r="184" spans="2:38" ht="20.100000000000001" customHeight="1" x14ac:dyDescent="0.25"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01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</row>
    <row r="185" spans="2:38" ht="20.100000000000001" customHeight="1" x14ac:dyDescent="0.25"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01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</row>
    <row r="186" spans="2:38" ht="20.100000000000001" customHeight="1" x14ac:dyDescent="0.25"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01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</row>
    <row r="187" spans="2:38" ht="20.100000000000001" customHeight="1" x14ac:dyDescent="0.25"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01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</row>
    <row r="188" spans="2:38" ht="20.100000000000001" customHeight="1" x14ac:dyDescent="0.25"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01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</row>
    <row r="189" spans="2:38" ht="20.100000000000001" customHeight="1" x14ac:dyDescent="0.25"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01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</row>
    <row r="190" spans="2:38" ht="20.100000000000001" customHeight="1" x14ac:dyDescent="0.25"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01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</row>
    <row r="191" spans="2:38" ht="20.100000000000001" customHeight="1" x14ac:dyDescent="0.25"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01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</row>
    <row r="192" spans="2:38" ht="20.100000000000001" customHeight="1" x14ac:dyDescent="0.25">
      <c r="B192" s="145"/>
      <c r="C192" s="145"/>
      <c r="D192" s="145"/>
      <c r="E192" s="145"/>
      <c r="F192" s="145"/>
      <c r="G192" s="145"/>
      <c r="H192" s="145"/>
      <c r="I192" s="145"/>
      <c r="J192" s="145"/>
      <c r="K192" s="145"/>
      <c r="L192" s="145"/>
      <c r="M192" s="145"/>
      <c r="N192" s="145"/>
      <c r="O192" s="145"/>
      <c r="P192" s="145"/>
      <c r="Q192" s="101"/>
      <c r="R192" s="145"/>
      <c r="S192" s="145"/>
      <c r="T192" s="145"/>
      <c r="U192" s="145"/>
      <c r="V192" s="145"/>
      <c r="W192" s="145"/>
      <c r="X192" s="145"/>
      <c r="Y192" s="145"/>
      <c r="Z192" s="145"/>
      <c r="AA192" s="145"/>
      <c r="AB192" s="145"/>
      <c r="AC192" s="145"/>
      <c r="AD192" s="145"/>
      <c r="AE192" s="145"/>
      <c r="AF192" s="145"/>
      <c r="AG192" s="145"/>
      <c r="AH192" s="145"/>
      <c r="AI192" s="145"/>
      <c r="AJ192" s="145"/>
      <c r="AK192" s="145"/>
      <c r="AL192" s="145"/>
    </row>
    <row r="193" spans="2:38" ht="20.100000000000001" customHeight="1" x14ac:dyDescent="0.25">
      <c r="B193" s="145"/>
      <c r="C193" s="145"/>
      <c r="D193" s="145"/>
      <c r="E193" s="145"/>
      <c r="F193" s="145"/>
      <c r="G193" s="145"/>
      <c r="H193" s="145"/>
      <c r="I193" s="145"/>
      <c r="J193" s="145"/>
      <c r="K193" s="145"/>
      <c r="L193" s="145"/>
      <c r="M193" s="145"/>
      <c r="N193" s="145"/>
      <c r="O193" s="145"/>
      <c r="P193" s="145"/>
      <c r="Q193" s="101"/>
      <c r="R193" s="145"/>
      <c r="S193" s="145"/>
      <c r="T193" s="145"/>
      <c r="U193" s="145"/>
      <c r="V193" s="145"/>
      <c r="W193" s="145"/>
      <c r="X193" s="145"/>
      <c r="Y193" s="145"/>
      <c r="Z193" s="145"/>
      <c r="AA193" s="145"/>
      <c r="AB193" s="145"/>
      <c r="AC193" s="145"/>
      <c r="AD193" s="145"/>
      <c r="AE193" s="145"/>
      <c r="AF193" s="145"/>
      <c r="AG193" s="145"/>
      <c r="AH193" s="145"/>
      <c r="AI193" s="145"/>
      <c r="AJ193" s="145"/>
      <c r="AK193" s="145"/>
      <c r="AL193" s="145"/>
    </row>
    <row r="194" spans="2:38" ht="20.100000000000001" customHeight="1" x14ac:dyDescent="0.25">
      <c r="B194" s="145"/>
      <c r="C194" s="145"/>
      <c r="D194" s="145"/>
      <c r="E194" s="145"/>
      <c r="F194" s="145"/>
      <c r="G194" s="145"/>
      <c r="H194" s="145"/>
      <c r="I194" s="145"/>
      <c r="J194" s="145"/>
      <c r="K194" s="145"/>
      <c r="L194" s="145"/>
      <c r="M194" s="145"/>
      <c r="N194" s="145"/>
      <c r="O194" s="145"/>
      <c r="P194" s="145"/>
      <c r="Q194" s="101"/>
      <c r="R194" s="145"/>
      <c r="S194" s="145"/>
      <c r="T194" s="145"/>
      <c r="U194" s="145"/>
      <c r="V194" s="145"/>
      <c r="W194" s="145"/>
      <c r="X194" s="145"/>
      <c r="Y194" s="145"/>
      <c r="Z194" s="145"/>
      <c r="AA194" s="145"/>
      <c r="AB194" s="145"/>
      <c r="AC194" s="145"/>
      <c r="AD194" s="145"/>
      <c r="AE194" s="145"/>
      <c r="AF194" s="145"/>
      <c r="AG194" s="145"/>
      <c r="AH194" s="145"/>
      <c r="AI194" s="145"/>
      <c r="AJ194" s="145"/>
      <c r="AK194" s="145"/>
      <c r="AL194" s="145"/>
    </row>
    <row r="195" spans="2:38" ht="20.100000000000001" customHeight="1" x14ac:dyDescent="0.25">
      <c r="B195" s="145"/>
      <c r="C195" s="145"/>
      <c r="D195" s="145"/>
      <c r="E195" s="145"/>
      <c r="F195" s="145"/>
      <c r="G195" s="145"/>
      <c r="H195" s="145"/>
      <c r="I195" s="145"/>
      <c r="J195" s="145"/>
      <c r="K195" s="145"/>
      <c r="L195" s="145"/>
      <c r="M195" s="145"/>
      <c r="N195" s="145"/>
      <c r="O195" s="145"/>
      <c r="P195" s="145"/>
      <c r="Q195" s="101"/>
      <c r="R195" s="145"/>
      <c r="S195" s="145"/>
      <c r="T195" s="145"/>
      <c r="U195" s="145"/>
      <c r="V195" s="145"/>
      <c r="W195" s="145"/>
      <c r="X195" s="145"/>
      <c r="Y195" s="145"/>
      <c r="Z195" s="145"/>
      <c r="AA195" s="145"/>
      <c r="AB195" s="145"/>
      <c r="AC195" s="145"/>
      <c r="AD195" s="145"/>
      <c r="AE195" s="145"/>
      <c r="AF195" s="145"/>
      <c r="AG195" s="145"/>
      <c r="AH195" s="145"/>
      <c r="AI195" s="145"/>
      <c r="AJ195" s="145"/>
      <c r="AK195" s="145"/>
      <c r="AL195" s="145"/>
    </row>
    <row r="196" spans="2:38" ht="20.100000000000001" customHeight="1" x14ac:dyDescent="0.25">
      <c r="B196" s="145"/>
      <c r="C196" s="145"/>
      <c r="D196" s="145"/>
      <c r="E196" s="145"/>
      <c r="F196" s="145"/>
      <c r="G196" s="145"/>
      <c r="H196" s="145"/>
      <c r="I196" s="145"/>
      <c r="J196" s="145"/>
      <c r="K196" s="145"/>
      <c r="L196" s="145"/>
      <c r="M196" s="145"/>
      <c r="N196" s="145"/>
      <c r="O196" s="145"/>
      <c r="P196" s="145"/>
      <c r="Q196" s="101"/>
      <c r="R196" s="145"/>
      <c r="S196" s="145"/>
      <c r="T196" s="145"/>
      <c r="U196" s="145"/>
      <c r="V196" s="145"/>
      <c r="W196" s="145"/>
      <c r="X196" s="145"/>
      <c r="Y196" s="145"/>
      <c r="Z196" s="145"/>
      <c r="AA196" s="145"/>
      <c r="AB196" s="145"/>
    </row>
    <row r="197" spans="2:38" ht="20.100000000000001" customHeight="1" x14ac:dyDescent="0.25">
      <c r="B197" s="145"/>
      <c r="C197" s="145"/>
      <c r="D197" s="145"/>
      <c r="E197" s="145"/>
      <c r="F197" s="145"/>
      <c r="G197" s="145"/>
      <c r="H197" s="145"/>
      <c r="I197" s="145"/>
      <c r="J197" s="145"/>
      <c r="K197" s="145"/>
      <c r="L197" s="145"/>
      <c r="M197" s="145"/>
      <c r="N197" s="145"/>
      <c r="O197" s="145"/>
      <c r="P197" s="145"/>
      <c r="Q197" s="101"/>
      <c r="R197" s="145"/>
      <c r="S197" s="145"/>
      <c r="T197" s="145"/>
      <c r="U197" s="145"/>
      <c r="V197" s="145"/>
      <c r="W197" s="145"/>
      <c r="X197" s="145"/>
      <c r="Y197" s="145"/>
      <c r="Z197" s="145"/>
      <c r="AA197" s="145"/>
      <c r="AB197" s="145"/>
    </row>
    <row r="198" spans="2:38" ht="20.100000000000001" customHeight="1" x14ac:dyDescent="0.25">
      <c r="B198" s="145"/>
      <c r="C198" s="145"/>
      <c r="D198" s="145"/>
      <c r="E198" s="145"/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45"/>
      <c r="Q198" s="101"/>
      <c r="R198" s="145"/>
      <c r="S198" s="145"/>
      <c r="T198" s="145"/>
      <c r="U198" s="145"/>
      <c r="V198" s="145"/>
      <c r="W198" s="145"/>
      <c r="X198" s="145"/>
      <c r="Y198" s="145"/>
      <c r="Z198" s="145"/>
      <c r="AA198" s="145"/>
      <c r="AB198" s="145"/>
    </row>
    <row r="199" spans="2:38" ht="20.100000000000001" customHeight="1" x14ac:dyDescent="0.25">
      <c r="B199" s="145"/>
      <c r="C199" s="145"/>
      <c r="D199" s="145"/>
      <c r="E199" s="145"/>
      <c r="F199" s="145"/>
      <c r="G199" s="145"/>
      <c r="H199" s="145"/>
      <c r="I199" s="145"/>
      <c r="J199" s="145"/>
      <c r="K199" s="145"/>
      <c r="L199" s="145"/>
      <c r="M199" s="145"/>
      <c r="N199" s="145"/>
      <c r="O199" s="145"/>
      <c r="P199" s="145"/>
      <c r="Q199" s="101"/>
      <c r="R199" s="145"/>
      <c r="S199" s="145"/>
      <c r="T199" s="145"/>
      <c r="U199" s="145"/>
      <c r="V199" s="145"/>
      <c r="W199" s="145"/>
      <c r="X199" s="145"/>
      <c r="Y199" s="145"/>
      <c r="Z199" s="145"/>
      <c r="AA199" s="145"/>
      <c r="AB199" s="145"/>
    </row>
    <row r="200" spans="2:38" ht="20.100000000000001" customHeight="1" x14ac:dyDescent="0.25">
      <c r="B200" s="145"/>
      <c r="C200" s="145"/>
      <c r="D200" s="145"/>
      <c r="E200" s="145"/>
      <c r="F200" s="145"/>
      <c r="G200" s="145"/>
      <c r="H200" s="145"/>
      <c r="I200" s="145"/>
      <c r="J200" s="145"/>
      <c r="K200" s="145"/>
      <c r="L200" s="145"/>
      <c r="M200" s="145"/>
      <c r="N200" s="145"/>
      <c r="O200" s="145"/>
      <c r="P200" s="145"/>
      <c r="Q200" s="101"/>
      <c r="R200" s="145"/>
      <c r="S200" s="145"/>
      <c r="T200" s="145"/>
      <c r="U200" s="145"/>
      <c r="V200" s="145"/>
      <c r="W200" s="145"/>
      <c r="X200" s="145"/>
      <c r="Y200" s="145"/>
      <c r="Z200" s="145"/>
      <c r="AA200" s="145"/>
      <c r="AB200" s="145"/>
    </row>
    <row r="201" spans="2:38" ht="20.100000000000001" customHeight="1" x14ac:dyDescent="0.25">
      <c r="B201" s="145"/>
      <c r="C201" s="145"/>
      <c r="D201" s="145"/>
      <c r="E201" s="145"/>
      <c r="F201" s="145"/>
      <c r="G201" s="145"/>
      <c r="H201" s="145"/>
      <c r="I201" s="145"/>
      <c r="J201" s="145"/>
      <c r="K201" s="145"/>
      <c r="L201" s="145"/>
      <c r="M201" s="145"/>
      <c r="N201" s="145"/>
      <c r="O201" s="145"/>
      <c r="P201" s="145"/>
      <c r="Q201" s="101"/>
      <c r="R201" s="145"/>
      <c r="S201" s="145"/>
      <c r="T201" s="145"/>
      <c r="U201" s="145"/>
      <c r="V201" s="145"/>
      <c r="W201" s="145"/>
      <c r="X201" s="145"/>
      <c r="Y201" s="145"/>
      <c r="Z201" s="145"/>
      <c r="AA201" s="145"/>
      <c r="AB201" s="145"/>
    </row>
    <row r="202" spans="2:38" ht="20.100000000000001" customHeight="1" x14ac:dyDescent="0.25"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45"/>
      <c r="O202" s="145"/>
      <c r="P202" s="145"/>
      <c r="Q202" s="101"/>
      <c r="R202" s="145"/>
      <c r="S202" s="145"/>
      <c r="T202" s="145"/>
      <c r="U202" s="145"/>
      <c r="V202" s="145"/>
      <c r="W202" s="145"/>
      <c r="X202" s="145"/>
      <c r="Y202" s="145"/>
      <c r="Z202" s="145"/>
      <c r="AA202" s="145"/>
      <c r="AB202" s="145"/>
    </row>
    <row r="203" spans="2:38" ht="20.100000000000001" customHeight="1" x14ac:dyDescent="0.25"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45"/>
      <c r="O203" s="145"/>
      <c r="P203" s="145"/>
      <c r="Q203" s="101"/>
      <c r="R203" s="145"/>
      <c r="S203" s="145"/>
      <c r="T203" s="145"/>
      <c r="U203" s="145"/>
      <c r="V203" s="145"/>
      <c r="W203" s="145"/>
      <c r="X203" s="145"/>
      <c r="Y203" s="145"/>
      <c r="Z203" s="145"/>
      <c r="AA203" s="145"/>
      <c r="AB203" s="145"/>
    </row>
    <row r="204" spans="2:38" ht="20.100000000000001" customHeight="1" x14ac:dyDescent="0.25"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45"/>
      <c r="O204" s="145"/>
      <c r="P204" s="145"/>
      <c r="Q204" s="101"/>
      <c r="R204" s="145"/>
      <c r="S204" s="145"/>
      <c r="T204" s="145"/>
      <c r="U204" s="145"/>
      <c r="V204" s="145"/>
      <c r="W204" s="145"/>
      <c r="X204" s="145"/>
      <c r="Y204" s="145"/>
      <c r="Z204" s="145"/>
      <c r="AA204" s="145"/>
      <c r="AB204" s="145"/>
    </row>
    <row r="205" spans="2:38" ht="20.100000000000001" customHeight="1" x14ac:dyDescent="0.25"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45"/>
      <c r="O205" s="145"/>
      <c r="P205" s="145"/>
      <c r="Q205" s="101"/>
      <c r="R205" s="145"/>
      <c r="S205" s="145"/>
      <c r="T205" s="145"/>
      <c r="U205" s="145"/>
      <c r="V205" s="145"/>
      <c r="W205" s="145"/>
      <c r="X205" s="145"/>
      <c r="Y205" s="145"/>
      <c r="Z205" s="145"/>
      <c r="AA205" s="145"/>
      <c r="AB205" s="145"/>
    </row>
    <row r="206" spans="2:38" ht="20.100000000000001" customHeight="1" x14ac:dyDescent="0.25"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45"/>
      <c r="O206" s="145"/>
      <c r="P206" s="145"/>
      <c r="Q206" s="101"/>
      <c r="R206" s="145"/>
      <c r="S206" s="145"/>
      <c r="T206" s="145"/>
      <c r="U206" s="145"/>
      <c r="V206" s="145"/>
      <c r="W206" s="145"/>
      <c r="X206" s="145"/>
      <c r="Y206" s="145"/>
      <c r="Z206" s="145"/>
      <c r="AA206" s="145"/>
      <c r="AB206" s="145"/>
    </row>
    <row r="207" spans="2:38" ht="20.100000000000001" customHeight="1" x14ac:dyDescent="0.25"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45"/>
      <c r="O207" s="145"/>
      <c r="P207" s="145"/>
      <c r="Q207" s="101"/>
      <c r="R207" s="145"/>
      <c r="S207" s="145"/>
      <c r="T207" s="145"/>
      <c r="U207" s="145"/>
      <c r="V207" s="145"/>
      <c r="W207" s="145"/>
      <c r="X207" s="145"/>
      <c r="Y207" s="145"/>
      <c r="Z207" s="145"/>
      <c r="AA207" s="145"/>
      <c r="AB207" s="145"/>
    </row>
    <row r="208" spans="2:38" ht="20.100000000000001" customHeight="1" x14ac:dyDescent="0.25"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45"/>
      <c r="O208" s="145"/>
      <c r="P208" s="145"/>
      <c r="Q208" s="101"/>
      <c r="R208" s="145"/>
      <c r="S208" s="145"/>
      <c r="T208" s="145"/>
      <c r="U208" s="145"/>
      <c r="V208" s="145"/>
      <c r="W208" s="145"/>
      <c r="X208" s="145"/>
      <c r="Y208" s="145"/>
      <c r="Z208" s="145"/>
      <c r="AA208" s="145"/>
      <c r="AB208" s="145"/>
    </row>
    <row r="209" spans="2:28" ht="20.100000000000001" customHeight="1" x14ac:dyDescent="0.25"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45"/>
      <c r="O209" s="145"/>
      <c r="P209" s="145"/>
      <c r="Q209" s="101"/>
      <c r="R209" s="145"/>
      <c r="S209" s="145"/>
      <c r="T209" s="145"/>
      <c r="U209" s="145"/>
      <c r="V209" s="145"/>
      <c r="W209" s="145"/>
      <c r="X209" s="145"/>
      <c r="Y209" s="145"/>
      <c r="Z209" s="145"/>
      <c r="AA209" s="145"/>
      <c r="AB209" s="145"/>
    </row>
    <row r="210" spans="2:28" ht="20.100000000000001" customHeight="1" x14ac:dyDescent="0.25"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45"/>
      <c r="O210" s="145"/>
      <c r="P210" s="145"/>
      <c r="Q210" s="101"/>
      <c r="R210" s="145"/>
      <c r="S210" s="145"/>
      <c r="T210" s="145"/>
      <c r="U210" s="145"/>
      <c r="V210" s="145"/>
      <c r="W210" s="145"/>
      <c r="X210" s="145"/>
      <c r="Y210" s="145"/>
      <c r="Z210" s="145"/>
      <c r="AA210" s="145"/>
      <c r="AB210" s="145"/>
    </row>
    <row r="211" spans="2:28" ht="20.100000000000001" customHeight="1" x14ac:dyDescent="0.25"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45"/>
      <c r="O211" s="145"/>
      <c r="P211" s="145"/>
      <c r="Q211" s="101"/>
      <c r="R211" s="145"/>
      <c r="S211" s="145"/>
      <c r="T211" s="145"/>
      <c r="U211" s="145"/>
      <c r="V211" s="145"/>
      <c r="W211" s="145"/>
      <c r="X211" s="145"/>
      <c r="Y211" s="145"/>
      <c r="Z211" s="145"/>
      <c r="AA211" s="145"/>
      <c r="AB211" s="145"/>
    </row>
    <row r="212" spans="2:28" ht="20.100000000000001" customHeight="1" x14ac:dyDescent="0.25"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45"/>
      <c r="O212" s="145"/>
      <c r="P212" s="145"/>
      <c r="Q212" s="101"/>
      <c r="R212" s="145"/>
      <c r="S212" s="145"/>
      <c r="T212" s="145"/>
      <c r="U212" s="145"/>
      <c r="V212" s="145"/>
      <c r="W212" s="145"/>
      <c r="X212" s="145"/>
      <c r="Y212" s="145"/>
      <c r="Z212" s="145"/>
      <c r="AA212" s="145"/>
      <c r="AB212" s="145"/>
    </row>
    <row r="213" spans="2:28" ht="20.100000000000001" customHeight="1" x14ac:dyDescent="0.25"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45"/>
      <c r="O213" s="145"/>
      <c r="W213" s="145"/>
      <c r="Z213" s="145"/>
      <c r="AA213" s="145"/>
      <c r="AB213" s="145"/>
    </row>
    <row r="214" spans="2:28" ht="20.100000000000001" customHeight="1" x14ac:dyDescent="0.25"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45"/>
      <c r="O214" s="145"/>
      <c r="W214" s="145"/>
      <c r="AB214" s="145"/>
    </row>
    <row r="215" spans="2:28" ht="20.100000000000001" customHeight="1" x14ac:dyDescent="0.25"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45"/>
      <c r="O215" s="145"/>
      <c r="W215" s="145"/>
      <c r="AB215" s="145"/>
    </row>
    <row r="216" spans="2:28" ht="20.100000000000001" customHeight="1" x14ac:dyDescent="0.25">
      <c r="I216" s="145"/>
      <c r="J216" s="145"/>
      <c r="K216" s="145"/>
      <c r="L216" s="145"/>
      <c r="N216" s="145"/>
      <c r="O216" s="145"/>
      <c r="W216" s="145"/>
      <c r="AB216" s="145"/>
    </row>
    <row r="217" spans="2:28" ht="20.100000000000001" customHeight="1" x14ac:dyDescent="0.25">
      <c r="I217" s="145"/>
      <c r="J217" s="145"/>
      <c r="K217" s="145"/>
      <c r="L217" s="145"/>
      <c r="N217" s="145"/>
      <c r="O217" s="145"/>
      <c r="AB217" s="145"/>
    </row>
    <row r="218" spans="2:28" ht="20.100000000000001" customHeight="1" x14ac:dyDescent="0.25">
      <c r="I218" s="145"/>
      <c r="O218" s="145"/>
      <c r="AB218" s="145"/>
    </row>
    <row r="219" spans="2:28" ht="20.100000000000001" customHeight="1" x14ac:dyDescent="0.25">
      <c r="I219" s="145"/>
      <c r="O219" s="145"/>
      <c r="AB219" s="145"/>
    </row>
    <row r="220" spans="2:28" ht="20.100000000000001" customHeight="1" x14ac:dyDescent="0.25">
      <c r="I220" s="145"/>
      <c r="O220" s="145"/>
      <c r="AB220" s="145"/>
    </row>
    <row r="221" spans="2:28" ht="20.100000000000001" customHeight="1" x14ac:dyDescent="0.25">
      <c r="I221" s="145"/>
      <c r="O221" s="145"/>
      <c r="AB221" s="145"/>
    </row>
    <row r="222" spans="2:28" ht="20.100000000000001" customHeight="1" x14ac:dyDescent="0.25">
      <c r="O222" s="145"/>
      <c r="AB222" s="145"/>
    </row>
    <row r="223" spans="2:28" ht="20.100000000000001" customHeight="1" x14ac:dyDescent="0.25">
      <c r="O223" s="145"/>
      <c r="AB223" s="145"/>
    </row>
  </sheetData>
  <mergeCells count="22">
    <mergeCell ref="H5:J5"/>
    <mergeCell ref="H9:J9"/>
    <mergeCell ref="D9:F9"/>
    <mergeCell ref="D5:F5"/>
    <mergeCell ref="D6:F6"/>
    <mergeCell ref="D4:F4"/>
    <mergeCell ref="H4:J4"/>
    <mergeCell ref="L2:N2"/>
    <mergeCell ref="V2:X2"/>
    <mergeCell ref="D2:F2"/>
    <mergeCell ref="H2:J2"/>
    <mergeCell ref="L51:M51"/>
    <mergeCell ref="L56:M56"/>
    <mergeCell ref="H6:J6"/>
    <mergeCell ref="L7:N7"/>
    <mergeCell ref="D7:F7"/>
    <mergeCell ref="D8:F8"/>
    <mergeCell ref="H8:J8"/>
    <mergeCell ref="H7:J7"/>
    <mergeCell ref="L8:N8"/>
    <mergeCell ref="L9:N9"/>
    <mergeCell ref="L6:N6"/>
  </mergeCells>
  <conditionalFormatting sqref="U42:X42 S42 R27:R28 T27:T28 V27:V28 X27:X28 Z27:AA28 R30:R31 T30:T31 V30:V31 X30:X31 Z30:AA31 S34:AA34 R63:R80 T63:T80 R34:R42 X35:X42 Z35:AA42 V35:V42 T35:T42 Z63:AA80 X63:X80 V63:V80 AH60:AH62 AF51:AG62 AD57:AD62 AB57:AB84 T44:T50 R44:R50 Z44:AA50 V44:V50 X44:X50 AB49:AB50">
    <cfRule type="expression" dxfId="66" priority="228">
      <formula>COUNTA($R$4:$R$20)=0</formula>
    </cfRule>
  </conditionalFormatting>
  <conditionalFormatting sqref="R34:AA34">
    <cfRule type="expression" dxfId="65" priority="166">
      <formula>$R$34=300</formula>
    </cfRule>
  </conditionalFormatting>
  <conditionalFormatting sqref="R44 AB81">
    <cfRule type="expression" dxfId="64" priority="157">
      <formula>$R$44=250</formula>
    </cfRule>
  </conditionalFormatting>
  <conditionalFormatting sqref="T44">
    <cfRule type="expression" dxfId="63" priority="155">
      <formula>$T$44=250</formula>
    </cfRule>
  </conditionalFormatting>
  <conditionalFormatting sqref="V44">
    <cfRule type="expression" dxfId="62" priority="154">
      <formula>$V$44=250</formula>
    </cfRule>
  </conditionalFormatting>
  <conditionalFormatting sqref="X44">
    <cfRule type="expression" dxfId="61" priority="153">
      <formula>$X$44=250</formula>
    </cfRule>
  </conditionalFormatting>
  <conditionalFormatting sqref="Z44:AA44">
    <cfRule type="expression" dxfId="60" priority="152">
      <formula>$Z$44=250</formula>
    </cfRule>
  </conditionalFormatting>
  <conditionalFormatting sqref="R30">
    <cfRule type="expression" dxfId="59" priority="149">
      <formula>$R$30=900</formula>
    </cfRule>
  </conditionalFormatting>
  <conditionalFormatting sqref="T30">
    <cfRule type="expression" dxfId="58" priority="147">
      <formula>$T$30=900</formula>
    </cfRule>
  </conditionalFormatting>
  <conditionalFormatting sqref="V30">
    <cfRule type="expression" dxfId="57" priority="146">
      <formula>$V$30=900</formula>
    </cfRule>
  </conditionalFormatting>
  <conditionalFormatting sqref="X30">
    <cfRule type="expression" dxfId="56" priority="145">
      <formula>$X$30=900</formula>
    </cfRule>
  </conditionalFormatting>
  <conditionalFormatting sqref="Z30:AA30">
    <cfRule type="expression" dxfId="55" priority="144">
      <formula>$Z$30=900</formula>
    </cfRule>
  </conditionalFormatting>
  <conditionalFormatting sqref="R37">
    <cfRule type="expression" dxfId="54" priority="109">
      <formula>$R$37=300</formula>
    </cfRule>
    <cfRule type="expression" dxfId="53" priority="141">
      <formula>$R$37=1300</formula>
    </cfRule>
  </conditionalFormatting>
  <conditionalFormatting sqref="T37">
    <cfRule type="expression" dxfId="52" priority="107">
      <formula>$T$37=300</formula>
    </cfRule>
    <cfRule type="expression" dxfId="51" priority="139">
      <formula>$T$37=1300</formula>
    </cfRule>
  </conditionalFormatting>
  <conditionalFormatting sqref="V37">
    <cfRule type="expression" dxfId="50" priority="106">
      <formula>$V$37=300</formula>
    </cfRule>
    <cfRule type="expression" dxfId="49" priority="138">
      <formula>$V$37=1300</formula>
    </cfRule>
  </conditionalFormatting>
  <conditionalFormatting sqref="X37">
    <cfRule type="expression" dxfId="48" priority="105">
      <formula>$X$37=300</formula>
    </cfRule>
    <cfRule type="expression" dxfId="47" priority="137">
      <formula>$X$37=1300</formula>
    </cfRule>
  </conditionalFormatting>
  <conditionalFormatting sqref="Z37:AA37">
    <cfRule type="expression" dxfId="46" priority="104">
      <formula>$Z$37=300</formula>
    </cfRule>
    <cfRule type="expression" dxfId="45" priority="136">
      <formula>$Z$37=1300</formula>
    </cfRule>
  </conditionalFormatting>
  <conditionalFormatting sqref="R39">
    <cfRule type="expression" dxfId="44" priority="101">
      <formula>$R$39=300</formula>
    </cfRule>
    <cfRule type="expression" dxfId="43" priority="133">
      <formula>$R$39=2200</formula>
    </cfRule>
  </conditionalFormatting>
  <conditionalFormatting sqref="T39">
    <cfRule type="expression" dxfId="42" priority="99">
      <formula>$T$39=300</formula>
    </cfRule>
    <cfRule type="expression" dxfId="41" priority="131">
      <formula>$T$39=2200</formula>
    </cfRule>
  </conditionalFormatting>
  <conditionalFormatting sqref="V39">
    <cfRule type="expression" dxfId="40" priority="98">
      <formula>$V$39=300</formula>
    </cfRule>
    <cfRule type="expression" dxfId="39" priority="130">
      <formula>$V$39=2200</formula>
    </cfRule>
  </conditionalFormatting>
  <conditionalFormatting sqref="X39">
    <cfRule type="expression" dxfId="38" priority="97">
      <formula>$X$39=300</formula>
    </cfRule>
    <cfRule type="expression" dxfId="37" priority="129">
      <formula>$X$39=2200</formula>
    </cfRule>
  </conditionalFormatting>
  <conditionalFormatting sqref="Z39:AA39">
    <cfRule type="expression" dxfId="36" priority="96">
      <formula>$Z$39=300</formula>
    </cfRule>
    <cfRule type="expression" dxfId="35" priority="128">
      <formula>$Z$39=2200</formula>
    </cfRule>
  </conditionalFormatting>
  <conditionalFormatting sqref="R42">
    <cfRule type="expression" dxfId="34" priority="93">
      <formula>$R$42=300</formula>
    </cfRule>
    <cfRule type="expression" dxfId="33" priority="125">
      <formula>$R$42=2200</formula>
    </cfRule>
  </conditionalFormatting>
  <conditionalFormatting sqref="T42">
    <cfRule type="expression" dxfId="32" priority="91">
      <formula>$T$42=300</formula>
    </cfRule>
    <cfRule type="expression" dxfId="31" priority="123">
      <formula>$T$42=2200</formula>
    </cfRule>
  </conditionalFormatting>
  <conditionalFormatting sqref="V42">
    <cfRule type="expression" dxfId="30" priority="90">
      <formula>$V$42=300</formula>
    </cfRule>
    <cfRule type="expression" dxfId="29" priority="122">
      <formula>$V$42=2200</formula>
    </cfRule>
  </conditionalFormatting>
  <conditionalFormatting sqref="X42">
    <cfRule type="expression" dxfId="28" priority="89">
      <formula>$X$42=300</formula>
    </cfRule>
    <cfRule type="expression" dxfId="27" priority="121">
      <formula>$X$42=2200</formula>
    </cfRule>
  </conditionalFormatting>
  <conditionalFormatting sqref="Z42:AA42">
    <cfRule type="expression" dxfId="26" priority="88">
      <formula>$Z$42=300</formula>
    </cfRule>
    <cfRule type="expression" dxfId="25" priority="120">
      <formula>$Z$42=2200</formula>
    </cfRule>
  </conditionalFormatting>
  <conditionalFormatting sqref="R45 AB82">
    <cfRule type="expression" dxfId="24" priority="76">
      <formula>$R$45=550</formula>
    </cfRule>
    <cfRule type="expression" dxfId="23" priority="85">
      <formula>$R$45=850</formula>
    </cfRule>
    <cfRule type="expression" dxfId="22" priority="117">
      <formula>$R$45=3750</formula>
    </cfRule>
  </conditionalFormatting>
  <conditionalFormatting sqref="T45">
    <cfRule type="expression" dxfId="21" priority="74">
      <formula>$T$45=550</formula>
    </cfRule>
    <cfRule type="expression" dxfId="20" priority="83">
      <formula>$T$45=850</formula>
    </cfRule>
    <cfRule type="expression" dxfId="19" priority="115">
      <formula>$T$45=3750</formula>
    </cfRule>
  </conditionalFormatting>
  <conditionalFormatting sqref="V45">
    <cfRule type="expression" dxfId="18" priority="73">
      <formula>$V$45=550</formula>
    </cfRule>
    <cfRule type="expression" dxfId="17" priority="82">
      <formula>$V$45=850</formula>
    </cfRule>
    <cfRule type="expression" dxfId="16" priority="114">
      <formula>$V$45=3750</formula>
    </cfRule>
  </conditionalFormatting>
  <conditionalFormatting sqref="X45">
    <cfRule type="expression" dxfId="15" priority="72">
      <formula>$X$45=550</formula>
    </cfRule>
    <cfRule type="expression" dxfId="14" priority="81">
      <formula>$X$45=850</formula>
    </cfRule>
    <cfRule type="expression" dxfId="13" priority="113">
      <formula>$X$45=3750</formula>
    </cfRule>
  </conditionalFormatting>
  <conditionalFormatting sqref="Z45:AA45">
    <cfRule type="expression" dxfId="12" priority="71">
      <formula>$Z$45=550</formula>
    </cfRule>
    <cfRule type="expression" dxfId="11" priority="80">
      <formula>$Z$45=850</formula>
    </cfRule>
    <cfRule type="expression" dxfId="10" priority="112">
      <formula>$Z$45=3750</formula>
    </cfRule>
  </conditionalFormatting>
  <conditionalFormatting sqref="X52 X57">
    <cfRule type="expression" dxfId="9" priority="15">
      <formula>$X$57&lt;=$J$41*40%</formula>
    </cfRule>
  </conditionalFormatting>
  <conditionalFormatting sqref="X53 X58">
    <cfRule type="expression" dxfId="8" priority="14">
      <formula>$X$53&lt;=$J$41*40%</formula>
    </cfRule>
  </conditionalFormatting>
  <conditionalFormatting sqref="X62">
    <cfRule type="expression" dxfId="7" priority="13">
      <formula>$X$62&lt;=$J$41*40%</formula>
    </cfRule>
  </conditionalFormatting>
  <conditionalFormatting sqref="R47">
    <cfRule type="expression" dxfId="6" priority="8">
      <formula>$R$45/$R$46&lt;=118%</formula>
    </cfRule>
  </conditionalFormatting>
  <conditionalFormatting sqref="T47">
    <cfRule type="expression" dxfId="5" priority="7">
      <formula>$T$45/$T$46&lt;=118%</formula>
    </cfRule>
  </conditionalFormatting>
  <conditionalFormatting sqref="V47">
    <cfRule type="expression" dxfId="4" priority="6">
      <formula>$V$45/$V$46&lt;=118%</formula>
    </cfRule>
  </conditionalFormatting>
  <conditionalFormatting sqref="X47">
    <cfRule type="expression" dxfId="3" priority="5">
      <formula>$X$45/$X$46&lt;=118%</formula>
    </cfRule>
  </conditionalFormatting>
  <conditionalFormatting sqref="Z47:AA47">
    <cfRule type="expression" dxfId="2" priority="4">
      <formula>$Z$45/$Z$46&lt;=118%</formula>
    </cfRule>
  </conditionalFormatting>
  <conditionalFormatting sqref="Z110:AA116 R110:V114 W89:X90 R85:V86 W114:W118 X110:Y114">
    <cfRule type="expression" dxfId="1" priority="265">
      <formula>R85&lt;=$J$11*40%</formula>
    </cfRule>
  </conditionalFormatting>
  <conditionalFormatting sqref="J45">
    <cfRule type="expression" dxfId="0" priority="1">
      <formula>($X$52+$J$37+$J$38+$J$39+$J$40)/$J$41&lt;=40%</formula>
    </cfRule>
  </conditionalFormatting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25:Z26 T35:Z37 R36:R37 U42 R28:Z30 S27:U27 Y27 W27 R10:V12 S8:V8 R20:V20 R13:V13 T40:Z40 W42 Y42 T41:Z41 S14:V14 S15:V15 S16:V16 S17:V17 S18:V18 S19:V19 R6:R8 D4:R5 D9:R9 D6:Q8 K41 J25:K29 D21:N21 F41:J41 M41:N41 M35 M40 B15:O20 B41:E41 B40:I40 N40:O40 B37:I37 B35:I35 N35:O35 O41 L41 B22:O22 B21:C21 O21 L40 L36:O39 L35 B25:I34 L25:O34 C36:I36 J34:K40 K30 K31 J30:J33 K32 K33 Y46 W46 U46 T46 V46 X46 Z46 J46:J47 B24:O24 C23:E23 G23:O23 B39:I39 C38:I3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CF</vt:lpstr>
      <vt:lpstr>CF!Zone_d_impression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2011-09-07T12:24:03Z</cp:lastPrinted>
  <dcterms:created xsi:type="dcterms:W3CDTF">2008-03-12T18:15:50Z</dcterms:created>
  <dcterms:modified xsi:type="dcterms:W3CDTF">2011-09-07T19:01:12Z</dcterms:modified>
</cp:coreProperties>
</file>