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45" windowWidth="15480" windowHeight="11175" tabRatio="529"/>
  </bookViews>
  <sheets>
    <sheet name="Tableau JMM" sheetId="38" r:id="rId1"/>
  </sheets>
  <definedNames>
    <definedName name="_xlnm.Print_Area" localSheetId="0">'Tableau JMM'!$A$1:$AB$95</definedName>
  </definedNames>
  <calcPr calcId="144525"/>
</workbook>
</file>

<file path=xl/calcChain.xml><?xml version="1.0" encoding="utf-8"?>
<calcChain xmlns="http://schemas.openxmlformats.org/spreadsheetml/2006/main">
  <c r="O78" i="38" l="1"/>
  <c r="AC76" i="38"/>
  <c r="AC74" i="38"/>
  <c r="O76" i="38"/>
  <c r="O74" i="38"/>
  <c r="O79" i="38" l="1"/>
  <c r="AC8" i="38"/>
  <c r="AC78" i="38" l="1"/>
  <c r="AC79" i="38" l="1"/>
  <c r="M78" i="38"/>
  <c r="M79" i="38" s="1"/>
  <c r="Y104" i="38" l="1"/>
  <c r="Y103" i="38"/>
  <c r="Y102" i="38"/>
  <c r="Y101" i="38"/>
  <c r="Y100" i="38"/>
  <c r="Y99" i="38"/>
  <c r="Z99" i="38" s="1"/>
  <c r="Z100" i="38" l="1"/>
  <c r="Z101" i="38" s="1"/>
  <c r="Z102" i="38" s="1"/>
  <c r="Z103" i="38" s="1"/>
  <c r="Z104" i="38" s="1"/>
  <c r="E47" i="38"/>
  <c r="O47" i="38"/>
  <c r="K47" i="38"/>
  <c r="O61" i="38" l="1"/>
  <c r="M61" i="38"/>
  <c r="K61" i="38"/>
  <c r="O60" i="38"/>
  <c r="M60" i="38"/>
  <c r="K60" i="38"/>
  <c r="O66" i="38"/>
  <c r="M66" i="38"/>
  <c r="K66" i="38"/>
  <c r="O65" i="38"/>
  <c r="M65" i="38"/>
  <c r="K65" i="38"/>
  <c r="O64" i="38"/>
  <c r="M64" i="38"/>
  <c r="K64" i="38"/>
  <c r="O63" i="38"/>
  <c r="M63" i="38"/>
  <c r="K63" i="38"/>
  <c r="O62" i="38"/>
  <c r="M62" i="38"/>
  <c r="K62" i="38"/>
  <c r="O56" i="38"/>
  <c r="M56" i="38"/>
  <c r="K56" i="38"/>
  <c r="O57" i="38"/>
  <c r="M57" i="38"/>
  <c r="K57" i="38"/>
  <c r="O55" i="38" l="1"/>
  <c r="M55" i="38"/>
  <c r="K55" i="38"/>
  <c r="O54" i="38"/>
  <c r="M54" i="38"/>
  <c r="K54" i="38"/>
  <c r="O53" i="38"/>
  <c r="M53" i="38"/>
  <c r="K53" i="38"/>
  <c r="O52" i="38"/>
  <c r="M52" i="38"/>
  <c r="K52" i="38"/>
  <c r="O51" i="38"/>
  <c r="M51" i="38"/>
  <c r="K51" i="38"/>
  <c r="W21" i="38"/>
  <c r="S58" i="38" s="1"/>
  <c r="U20" i="38"/>
  <c r="U19" i="38"/>
  <c r="U18" i="38"/>
  <c r="U17" i="38"/>
  <c r="U16" i="38"/>
  <c r="U15" i="38"/>
  <c r="U14" i="38"/>
  <c r="AG58" i="38" l="1"/>
  <c r="AA58" i="38"/>
  <c r="AE58" i="38"/>
  <c r="W58" i="38"/>
  <c r="U58" i="38"/>
  <c r="Y58" i="38"/>
  <c r="AC58" i="38"/>
  <c r="M58" i="38"/>
  <c r="M59" i="38"/>
  <c r="K59" i="38"/>
  <c r="K58" i="38"/>
  <c r="O58" i="38"/>
  <c r="O59" i="38"/>
  <c r="W20" i="38"/>
  <c r="W17" i="38"/>
  <c r="W15" i="38"/>
  <c r="W14" i="38"/>
  <c r="O67" i="38" l="1"/>
  <c r="M67" i="38"/>
  <c r="K67" i="38"/>
  <c r="AG53" i="38"/>
  <c r="AE53" i="38"/>
  <c r="AC53" i="38"/>
  <c r="AG44" i="38"/>
  <c r="AE44" i="38"/>
  <c r="AC44" i="38"/>
  <c r="AH57" i="38"/>
  <c r="O72" i="38" l="1"/>
  <c r="M72" i="38"/>
  <c r="AC72" i="38"/>
  <c r="W18" i="38"/>
  <c r="Z67" i="38" l="1"/>
  <c r="X67" i="38"/>
  <c r="V67" i="38"/>
  <c r="T67" i="38"/>
  <c r="S6" i="38"/>
  <c r="AA53" i="38"/>
  <c r="Y53" i="38"/>
  <c r="W53" i="38"/>
  <c r="U53" i="38"/>
  <c r="AA44" i="38"/>
  <c r="Y44" i="38"/>
  <c r="W44" i="38"/>
  <c r="U44" i="38"/>
  <c r="W19" i="38" l="1"/>
  <c r="W16" i="38"/>
  <c r="S33" i="38" s="1"/>
  <c r="S7" i="38"/>
  <c r="S9" i="38" l="1"/>
  <c r="AE51" i="38"/>
  <c r="W51" i="38"/>
  <c r="AC51" i="38"/>
  <c r="U51" i="38"/>
  <c r="AA51" i="38"/>
  <c r="S51" i="38"/>
  <c r="AG51" i="38"/>
  <c r="Y51" i="38"/>
  <c r="AG65" i="38"/>
  <c r="W65" i="38"/>
  <c r="U65" i="38"/>
  <c r="AE65" i="38"/>
  <c r="S65" i="38"/>
  <c r="Y65" i="38"/>
  <c r="AA65" i="38"/>
  <c r="AC65" i="38"/>
  <c r="W22" i="38"/>
  <c r="AC42" i="38" l="1"/>
  <c r="AA42" i="38"/>
  <c r="S42" i="38"/>
  <c r="AA100" i="38" l="1"/>
  <c r="AA101" i="38"/>
  <c r="AA103" i="38"/>
  <c r="AA99" i="38"/>
  <c r="AA102" i="38"/>
  <c r="AA104" i="38" l="1"/>
  <c r="AC9" i="38"/>
  <c r="S57" i="38" s="1"/>
  <c r="Y94" i="38" l="1"/>
  <c r="Z97" i="38"/>
  <c r="AA97" i="38" s="1"/>
  <c r="Y91" i="38"/>
  <c r="Z91" i="38" s="1"/>
  <c r="AA91" i="38" s="1"/>
  <c r="AG42" i="38"/>
  <c r="AG57" i="38"/>
  <c r="Y86" i="38"/>
  <c r="AA57" i="38"/>
  <c r="Y95" i="38"/>
  <c r="Z105" i="38"/>
  <c r="AA105" i="38" s="1"/>
  <c r="W42" i="38"/>
  <c r="Y42" i="38"/>
  <c r="AE42" i="38"/>
  <c r="AC57" i="38"/>
  <c r="Y85" i="38"/>
  <c r="Y93" i="38"/>
  <c r="U57" i="38"/>
  <c r="Y96" i="38"/>
  <c r="Y88" i="38"/>
  <c r="Y84" i="38"/>
  <c r="U42" i="38"/>
  <c r="AE57" i="38"/>
  <c r="W57" i="38"/>
  <c r="Y83" i="38"/>
  <c r="Z83" i="38" s="1"/>
  <c r="AA83" i="38" s="1"/>
  <c r="Y87" i="38"/>
  <c r="Y92" i="38"/>
  <c r="Z89" i="38"/>
  <c r="AA89" i="38" s="1"/>
  <c r="Y57" i="38"/>
  <c r="Z92" i="38" l="1"/>
  <c r="AA92" i="38" s="1"/>
  <c r="Z84" i="38"/>
  <c r="Z93" i="38" l="1"/>
  <c r="AA93" i="38" s="1"/>
  <c r="AA84" i="38"/>
  <c r="Z85" i="38"/>
  <c r="Z94" i="38" l="1"/>
  <c r="AA94" i="38" s="1"/>
  <c r="AA85" i="38"/>
  <c r="Z86" i="38"/>
  <c r="Z95" i="38" l="1"/>
  <c r="AA95" i="38" s="1"/>
  <c r="AA86" i="38"/>
  <c r="Z87" i="38"/>
  <c r="Z96" i="38" l="1"/>
  <c r="AA96" i="38" s="1"/>
  <c r="S52" i="38" s="1"/>
  <c r="AC52" i="38" s="1"/>
  <c r="AA87" i="38"/>
  <c r="Z88" i="38"/>
  <c r="AA88" i="38" s="1"/>
  <c r="Y52" i="38" l="1"/>
  <c r="U52" i="38"/>
  <c r="AE52" i="38"/>
  <c r="S54" i="38"/>
  <c r="W54" i="38" s="1"/>
  <c r="AA52" i="38"/>
  <c r="AG52" i="38"/>
  <c r="W52" i="38"/>
  <c r="S43" i="38"/>
  <c r="S45" i="38" s="1"/>
  <c r="Y54" i="38" l="1"/>
  <c r="S56" i="38"/>
  <c r="S59" i="38" s="1"/>
  <c r="AC54" i="38"/>
  <c r="U54" i="38"/>
  <c r="AA54" i="38"/>
  <c r="AG54" i="38"/>
  <c r="AE54" i="38"/>
  <c r="AA43" i="38"/>
  <c r="AA45" i="38" s="1"/>
  <c r="W43" i="38"/>
  <c r="W45" i="38" s="1"/>
  <c r="W56" i="38" s="1"/>
  <c r="W59" i="38" s="1"/>
  <c r="W61" i="38" s="1"/>
  <c r="W63" i="38" s="1"/>
  <c r="AG43" i="38"/>
  <c r="AG45" i="38" s="1"/>
  <c r="AG56" i="38" s="1"/>
  <c r="AG59" i="38" s="1"/>
  <c r="AG61" i="38" s="1"/>
  <c r="AG63" i="38" s="1"/>
  <c r="AG67" i="38" s="1"/>
  <c r="AE43" i="38"/>
  <c r="AE45" i="38" s="1"/>
  <c r="AE56" i="38" s="1"/>
  <c r="AE59" i="38" s="1"/>
  <c r="AE61" i="38" s="1"/>
  <c r="AE63" i="38" s="1"/>
  <c r="AE67" i="38" s="1"/>
  <c r="U43" i="38"/>
  <c r="U45" i="38" s="1"/>
  <c r="U56" i="38" s="1"/>
  <c r="U59" i="38" s="1"/>
  <c r="U61" i="38" s="1"/>
  <c r="U63" i="38" s="1"/>
  <c r="AC43" i="38"/>
  <c r="AC45" i="38" s="1"/>
  <c r="Y43" i="38"/>
  <c r="Y45" i="38" s="1"/>
  <c r="Y56" i="38" s="1"/>
  <c r="Y59" i="38" s="1"/>
  <c r="Y61" i="38" s="1"/>
  <c r="Y63" i="38" s="1"/>
  <c r="Y67" i="38" s="1"/>
  <c r="S61" i="38"/>
  <c r="S63" i="38" s="1"/>
  <c r="AA56" i="38" l="1"/>
  <c r="AA59" i="38" s="1"/>
  <c r="AA61" i="38" s="1"/>
  <c r="AA63" i="38" s="1"/>
  <c r="AA67" i="38" s="1"/>
  <c r="AC56" i="38"/>
  <c r="AC59" i="38" s="1"/>
  <c r="AC61" i="38" s="1"/>
  <c r="AC63" i="38" s="1"/>
  <c r="AC67" i="38" s="1"/>
  <c r="U67" i="38"/>
  <c r="W67" i="38"/>
  <c r="S67" i="38"/>
</calcChain>
</file>

<file path=xl/sharedStrings.xml><?xml version="1.0" encoding="utf-8"?>
<sst xmlns="http://schemas.openxmlformats.org/spreadsheetml/2006/main" count="182" uniqueCount="133">
  <si>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</si>
  <si>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</si>
  <si>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</si>
  <si>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</si>
  <si>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</si>
  <si>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</si>
  <si>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</si>
  <si>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non</t>
  </si>
  <si>
    <t>NS</t>
  </si>
  <si>
    <t>Frais de dossier</t>
  </si>
  <si>
    <t>5%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</si>
  <si>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</si>
  <si>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</si>
  <si>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</si>
  <si>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</si>
  <si>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</si>
  <si>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</si>
  <si>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</si>
  <si>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</si>
  <si>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</si>
  <si>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</si>
  <si>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</si>
  <si>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</si>
  <si>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</si>
  <si>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</si>
  <si>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</si>
  <si>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</si>
  <si>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Date de naissance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</si>
  <si>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</si>
  <si>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</si>
  <si>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</si>
  <si>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</si>
  <si>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</si>
  <si>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</si>
  <si>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</si>
  <si>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</si>
  <si>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Etat civil</t>
  </si>
  <si>
    <t>Nationalité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</si>
  <si>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</si>
  <si>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</si>
  <si>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</si>
  <si>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</si>
  <si>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</si>
  <si>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</si>
  <si>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</si>
  <si>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</si>
  <si>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</si>
  <si>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</si>
  <si>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Renseignements emprunteurs</t>
  </si>
  <si>
    <t>Demandeur 1</t>
  </si>
  <si>
    <t>Demandeur 2</t>
  </si>
  <si>
    <t>Aval</t>
  </si>
  <si>
    <t>Lieu de naissance</t>
  </si>
  <si>
    <t>N° de carte d'identité</t>
  </si>
  <si>
    <t>Adresse</t>
  </si>
  <si>
    <t>Code postal + Ville</t>
  </si>
  <si>
    <t>Téléphone</t>
  </si>
  <si>
    <t>Email</t>
  </si>
  <si>
    <t>N° régistre national</t>
  </si>
  <si>
    <t>Nombre de personnes à charge</t>
  </si>
  <si>
    <t>Age des personnes à charge</t>
  </si>
  <si>
    <t>Compte bancaire</t>
  </si>
  <si>
    <t>Statut professionnelle</t>
  </si>
  <si>
    <t>Employeur 1</t>
  </si>
  <si>
    <t>Date d'entrée</t>
  </si>
  <si>
    <t>Nature du travail</t>
  </si>
  <si>
    <t>Employeur 2</t>
  </si>
  <si>
    <t>Gage 2</t>
  </si>
  <si>
    <t>Nature</t>
  </si>
  <si>
    <t>Valeur vénale</t>
  </si>
  <si>
    <t>Adresse / numéro</t>
  </si>
  <si>
    <t>Code postal, ville</t>
  </si>
  <si>
    <t>Pays du gage</t>
  </si>
  <si>
    <t>Propriétaire</t>
  </si>
  <si>
    <t>Capital départ</t>
  </si>
  <si>
    <t>Durée</t>
  </si>
  <si>
    <t>Taux</t>
  </si>
  <si>
    <t>Revenus / dépenses réelles emprunteurs</t>
  </si>
  <si>
    <t xml:space="preserve">Maladie/invalidité </t>
  </si>
  <si>
    <t xml:space="preserve">Pensions </t>
  </si>
  <si>
    <t>Total chèque repas par mois</t>
  </si>
  <si>
    <t>Pensions alim. reçues enfants &lt; 15 ans</t>
  </si>
  <si>
    <t>Allocations nombre d'enfants &lt; 15 ans</t>
  </si>
  <si>
    <t>Valeurs locative existant</t>
  </si>
  <si>
    <t>Valeurs locative future</t>
  </si>
  <si>
    <t>Pension alimentaire payée</t>
  </si>
  <si>
    <t xml:space="preserve">Autres </t>
  </si>
  <si>
    <t>Crédits en cours à racheter</t>
  </si>
  <si>
    <t>Crédits en cours non rachetés</t>
  </si>
  <si>
    <t>Future charge du prêt</t>
  </si>
  <si>
    <t>Revenus / dépenses considérés emprunteurs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</si>
  <si>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</si>
  <si>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</si>
  <si>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</si>
  <si>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</si>
  <si>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</si>
  <si>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</si>
  <si>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</si>
  <si>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</si>
  <si>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</si>
  <si>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</si>
  <si>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</si>
  <si>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</si>
  <si>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</si>
  <si>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</si>
  <si>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</si>
  <si>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</si>
  <si>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</si>
  <si>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</si>
  <si>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</si>
  <si>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Remboursement</t>
  </si>
  <si>
    <t>Montant achat bien/ construction / travaux</t>
  </si>
  <si>
    <t>Gage 1 (Habitation à financer)</t>
  </si>
  <si>
    <t>% professionnelle</t>
  </si>
  <si>
    <t>Tx annuel</t>
  </si>
  <si>
    <t>Mensualité</t>
  </si>
  <si>
    <t>Crédit</t>
  </si>
  <si>
    <t xml:space="preserve">Taux périodique </t>
  </si>
  <si>
    <t>Nombre de mois</t>
  </si>
  <si>
    <t>Q -/&lt; 80%</t>
  </si>
  <si>
    <t>Q 80% - 100%</t>
  </si>
  <si>
    <t>Q 100 - 118%</t>
  </si>
  <si>
    <t>Taux variable annuellement</t>
  </si>
  <si>
    <t>Taux fixe</t>
  </si>
  <si>
    <r>
      <t xml:space="preserve">Frais d'acte d'achat -  </t>
    </r>
    <r>
      <rPr>
        <b/>
        <sz val="9"/>
        <color theme="3"/>
        <rFont val="Times New Roman"/>
        <family val="1"/>
      </rPr>
      <t>(Barème J - A.R. 16/12/1950)</t>
    </r>
  </si>
  <si>
    <r>
      <t xml:space="preserve">Frais d'acte de prêt - </t>
    </r>
    <r>
      <rPr>
        <b/>
        <sz val="9"/>
        <color theme="3"/>
        <rFont val="Times New Roman"/>
        <family val="1"/>
      </rPr>
      <t>(Barème G - A.R. 16/12/1950)</t>
    </r>
  </si>
  <si>
    <t>Taux annuel</t>
  </si>
  <si>
    <t>Montant original prêt</t>
  </si>
  <si>
    <t>Solde actuel</t>
  </si>
  <si>
    <t>Taux dans le temps</t>
  </si>
  <si>
    <t>Description</t>
  </si>
  <si>
    <t>Cap 3</t>
  </si>
  <si>
    <t>Informations générales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</si>
</sst>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#,##0\ _€"/>
    <numFmt numFmtId="170" formatCode="d/mm/yyyy;@"/>
    <numFmt numFmtId="171" formatCode="#,##0.00\ &quot;F&quot;;[Red]\-#,##0.00\ &quot;F&quot;"/>
    <numFmt numFmtId="172" formatCode="#,##0.00\ [$€-1];[Red]\-#,##0.00\ [$€-1]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C00000"/>
      <name val="Times New Roman"/>
      <family val="1"/>
    </font>
    <font>
      <b/>
      <sz val="10"/>
      <color rgb="FFFFFF00"/>
      <name val="Times New Roman"/>
      <family val="1"/>
    </font>
    <font>
      <sz val="10"/>
      <color theme="5" tint="-0.499984740745262"/>
      <name val="Times New Roman"/>
      <family val="1"/>
    </font>
    <font>
      <b/>
      <sz val="10"/>
      <color theme="1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3"/>
      <name val="Times New Roman"/>
      <family val="1"/>
    </font>
    <font>
      <sz val="11"/>
      <color theme="3"/>
      <name val="Times New Roman"/>
      <family val="1"/>
    </font>
    <font>
      <b/>
      <sz val="10"/>
      <color theme="3"/>
      <name val="Times New Roman"/>
      <family val="1"/>
    </font>
    <font>
      <b/>
      <sz val="9"/>
      <color theme="3"/>
      <name val="Times New Roman"/>
      <family val="1"/>
    </font>
    <font>
      <b/>
      <sz val="10"/>
      <color rgb="FFFF0000"/>
      <name val="Times New Roman"/>
      <family val="1"/>
    </font>
    <font>
      <sz val="11"/>
      <color theme="0"/>
      <name val="Times New Roman"/>
      <family val="1"/>
    </font>
    <font>
      <sz val="10"/>
      <color theme="6" tint="0.59999389629810485"/>
      <name val="Times New Roman"/>
      <family val="1"/>
    </font>
    <font>
      <sz val="10"/>
      <color theme="4" tint="-0.249977111117893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10">
    <xf numFmtId="0" fontId="0" fillId="0" borderId="0" xfId="0"/>
    <xf numFmtId="166" fontId="9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left" vertical="center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166" fontId="5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166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10" fontId="9" fillId="0" borderId="20" xfId="0" applyNumberFormat="1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166" fontId="9" fillId="0" borderId="20" xfId="0" applyNumberFormat="1" applyFont="1" applyFill="1" applyBorder="1" applyAlignment="1" applyProtection="1">
      <alignment horizontal="center" vertical="center"/>
      <protection locked="0"/>
    </xf>
    <xf numFmtId="166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9" fillId="0" borderId="2" xfId="0" applyNumberFormat="1" applyFont="1" applyFill="1" applyBorder="1" applyAlignment="1" applyProtection="1">
      <alignment horizontal="center" vertical="center"/>
    </xf>
    <xf numFmtId="164" fontId="9" fillId="0" borderId="17" xfId="0" applyNumberFormat="1" applyFont="1" applyFill="1" applyBorder="1" applyAlignment="1" applyProtection="1">
      <alignment horizontal="center" vertical="center"/>
      <protection locked="0"/>
    </xf>
    <xf numFmtId="164" fontId="9" fillId="0" borderId="18" xfId="0" applyNumberFormat="1" applyFont="1" applyFill="1" applyBorder="1" applyAlignment="1" applyProtection="1">
      <alignment horizontal="center" vertical="center"/>
      <protection locked="0"/>
    </xf>
    <xf numFmtId="164" fontId="9" fillId="0" borderId="19" xfId="0" applyNumberFormat="1" applyFont="1" applyFill="1" applyBorder="1" applyAlignment="1" applyProtection="1">
      <alignment horizontal="center" vertical="center"/>
      <protection locked="0"/>
    </xf>
    <xf numFmtId="166" fontId="9" fillId="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/>
      <protection locked="0"/>
    </xf>
    <xf numFmtId="166" fontId="4" fillId="0" borderId="20" xfId="0" applyNumberFormat="1" applyFont="1" applyFill="1" applyBorder="1" applyAlignment="1" applyProtection="1">
      <alignment horizontal="center" vertical="center"/>
    </xf>
    <xf numFmtId="166" fontId="4" fillId="0" borderId="22" xfId="0" applyNumberFormat="1" applyFont="1" applyFill="1" applyBorder="1" applyAlignment="1" applyProtection="1">
      <alignment horizontal="center" vertical="center"/>
    </xf>
    <xf numFmtId="166" fontId="4" fillId="0" borderId="23" xfId="0" applyNumberFormat="1" applyFont="1" applyFill="1" applyBorder="1" applyAlignment="1" applyProtection="1">
      <alignment horizontal="center" vertical="center"/>
    </xf>
    <xf numFmtId="0" fontId="21" fillId="5" borderId="2" xfId="0" applyFont="1" applyFill="1" applyBorder="1" applyAlignment="1">
      <alignment horizontal="left" vertical="center"/>
    </xf>
    <xf numFmtId="0" fontId="9" fillId="4" borderId="21" xfId="0" applyFont="1" applyFill="1" applyBorder="1" applyAlignment="1" applyProtection="1">
      <alignment vertical="center"/>
      <protection locked="0"/>
    </xf>
    <xf numFmtId="0" fontId="9" fillId="4" borderId="18" xfId="0" applyFont="1" applyFill="1" applyBorder="1" applyAlignment="1" applyProtection="1">
      <alignment vertical="center"/>
      <protection locked="0"/>
    </xf>
    <xf numFmtId="0" fontId="9" fillId="4" borderId="19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>
      <alignment vertical="center"/>
    </xf>
    <xf numFmtId="0" fontId="5" fillId="4" borderId="18" xfId="0" applyFont="1" applyFill="1" applyBorder="1" applyAlignment="1" applyProtection="1">
      <alignment vertical="center"/>
      <protection locked="0"/>
    </xf>
    <xf numFmtId="0" fontId="5" fillId="4" borderId="18" xfId="0" applyFont="1" applyFill="1" applyBorder="1" applyAlignment="1">
      <alignment vertical="center"/>
    </xf>
    <xf numFmtId="0" fontId="5" fillId="4" borderId="18" xfId="0" applyFont="1" applyFill="1" applyBorder="1" applyAlignment="1">
      <alignment horizontal="left" vertical="center"/>
    </xf>
    <xf numFmtId="0" fontId="5" fillId="4" borderId="19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horizontal="left" vertical="center"/>
      <protection locked="0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5" fillId="4" borderId="19" xfId="0" applyFont="1" applyFill="1" applyBorder="1" applyAlignment="1" applyProtection="1">
      <alignment horizontal="left" vertical="center"/>
      <protection locked="0"/>
    </xf>
    <xf numFmtId="0" fontId="21" fillId="5" borderId="2" xfId="0" applyFont="1" applyFill="1" applyBorder="1" applyAlignment="1">
      <alignment vertical="center"/>
    </xf>
    <xf numFmtId="0" fontId="21" fillId="6" borderId="2" xfId="0" applyFont="1" applyFill="1" applyBorder="1" applyAlignment="1" applyProtection="1">
      <alignment vertical="center"/>
      <protection locked="0"/>
    </xf>
    <xf numFmtId="0" fontId="21" fillId="6" borderId="2" xfId="0" applyFont="1" applyFill="1" applyBorder="1" applyAlignment="1" applyProtection="1">
      <alignment horizontal="left" vertical="center"/>
      <protection locked="0"/>
    </xf>
    <xf numFmtId="0" fontId="20" fillId="6" borderId="2" xfId="0" applyFont="1" applyFill="1" applyBorder="1" applyAlignment="1" applyProtection="1">
      <alignment horizontal="left" vertical="center"/>
      <protection locked="0"/>
    </xf>
    <xf numFmtId="0" fontId="6" fillId="4" borderId="20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5" fillId="4" borderId="17" xfId="4" applyFont="1" applyFill="1" applyBorder="1" applyAlignment="1">
      <alignment horizontal="left" vertical="center"/>
    </xf>
    <xf numFmtId="0" fontId="5" fillId="4" borderId="18" xfId="4" applyFont="1" applyFill="1" applyBorder="1" applyAlignment="1">
      <alignment horizontal="left" vertical="center"/>
    </xf>
    <xf numFmtId="0" fontId="9" fillId="4" borderId="19" xfId="4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left" vertical="center"/>
    </xf>
    <xf numFmtId="8" fontId="13" fillId="0" borderId="17" xfId="0" applyNumberFormat="1" applyFont="1" applyFill="1" applyBorder="1" applyAlignment="1" applyProtection="1">
      <alignment horizontal="center" vertical="center"/>
      <protection locked="0"/>
    </xf>
    <xf numFmtId="8" fontId="9" fillId="0" borderId="18" xfId="0" applyNumberFormat="1" applyFont="1" applyFill="1" applyBorder="1" applyAlignment="1" applyProtection="1">
      <alignment horizontal="center" vertical="center"/>
      <protection locked="0"/>
    </xf>
    <xf numFmtId="8" fontId="13" fillId="0" borderId="18" xfId="0" applyNumberFormat="1" applyFont="1" applyFill="1" applyBorder="1" applyAlignment="1" applyProtection="1">
      <alignment horizontal="center" vertical="center"/>
      <protection locked="0"/>
    </xf>
    <xf numFmtId="8" fontId="6" fillId="5" borderId="2" xfId="0" applyNumberFormat="1" applyFont="1" applyFill="1" applyBorder="1" applyAlignment="1" applyProtection="1">
      <alignment horizontal="center" vertical="center"/>
      <protection locked="0"/>
    </xf>
    <xf numFmtId="8" fontId="9" fillId="0" borderId="17" xfId="0" applyNumberFormat="1" applyFont="1" applyFill="1" applyBorder="1" applyAlignment="1" applyProtection="1">
      <alignment horizontal="center" vertical="center"/>
      <protection locked="0"/>
    </xf>
    <xf numFmtId="8" fontId="9" fillId="0" borderId="18" xfId="0" applyNumberFormat="1" applyFont="1" applyFill="1" applyBorder="1" applyAlignment="1">
      <alignment horizontal="center" vertical="center"/>
    </xf>
    <xf numFmtId="8" fontId="9" fillId="0" borderId="19" xfId="0" applyNumberFormat="1" applyFont="1" applyFill="1" applyBorder="1" applyAlignment="1">
      <alignment horizontal="center" vertical="center"/>
    </xf>
    <xf numFmtId="8" fontId="9" fillId="0" borderId="19" xfId="0" applyNumberFormat="1" applyFont="1" applyFill="1" applyBorder="1" applyAlignment="1" applyProtection="1">
      <alignment horizontal="center" vertical="center"/>
      <protection locked="0"/>
    </xf>
    <xf numFmtId="10" fontId="9" fillId="0" borderId="22" xfId="0" applyNumberFormat="1" applyFont="1" applyFill="1" applyBorder="1" applyAlignment="1" applyProtection="1">
      <alignment horizontal="center" vertical="center"/>
      <protection locked="0"/>
    </xf>
    <xf numFmtId="10" fontId="9" fillId="0" borderId="23" xfId="0" applyNumberFormat="1" applyFont="1" applyFill="1" applyBorder="1" applyAlignment="1" applyProtection="1">
      <alignment horizontal="center" vertical="center"/>
      <protection locked="0"/>
    </xf>
    <xf numFmtId="8" fontId="9" fillId="0" borderId="20" xfId="0" applyNumberFormat="1" applyFont="1" applyFill="1" applyBorder="1" applyAlignment="1" applyProtection="1">
      <alignment horizontal="center" vertical="center"/>
      <protection locked="0"/>
    </xf>
    <xf numFmtId="8" fontId="9" fillId="0" borderId="22" xfId="0" applyNumberFormat="1" applyFont="1" applyFill="1" applyBorder="1" applyAlignment="1" applyProtection="1">
      <alignment horizontal="center" vertical="center"/>
      <protection locked="0"/>
    </xf>
    <xf numFmtId="8" fontId="9" fillId="0" borderId="23" xfId="0" applyNumberFormat="1" applyFont="1" applyFill="1" applyBorder="1" applyAlignment="1" applyProtection="1">
      <alignment horizontal="center" vertical="center"/>
      <protection locked="0"/>
    </xf>
    <xf numFmtId="170" fontId="9" fillId="0" borderId="20" xfId="0" applyNumberFormat="1" applyFont="1" applyFill="1" applyBorder="1" applyAlignment="1" applyProtection="1">
      <alignment horizontal="center" vertical="center"/>
      <protection locked="0"/>
    </xf>
    <xf numFmtId="170" fontId="9" fillId="0" borderId="22" xfId="0" applyNumberFormat="1" applyFont="1" applyFill="1" applyBorder="1" applyAlignment="1" applyProtection="1">
      <alignment horizontal="center" vertical="center"/>
      <protection locked="0"/>
    </xf>
    <xf numFmtId="170" fontId="9" fillId="0" borderId="23" xfId="0" applyNumberFormat="1" applyFont="1" applyFill="1" applyBorder="1" applyAlignment="1" applyProtection="1">
      <alignment horizontal="center" vertical="center"/>
      <protection locked="0"/>
    </xf>
    <xf numFmtId="8" fontId="9" fillId="0" borderId="2" xfId="0" applyNumberFormat="1" applyFont="1" applyFill="1" applyBorder="1" applyAlignment="1" applyProtection="1">
      <alignment horizontal="center" vertical="center"/>
      <protection locked="0"/>
    </xf>
    <xf numFmtId="4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Alignment="1" applyProtection="1">
      <alignment vertical="center"/>
      <protection locked="0"/>
    </xf>
    <xf numFmtId="0" fontId="8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horizontal="center" vertical="center"/>
      <protection locked="0"/>
    </xf>
    <xf numFmtId="0" fontId="13" fillId="7" borderId="0" xfId="0" applyFont="1" applyFill="1" applyBorder="1" applyAlignment="1" applyProtection="1">
      <alignment vertical="center"/>
      <protection locked="0"/>
    </xf>
    <xf numFmtId="0" fontId="9" fillId="7" borderId="0" xfId="0" applyFont="1" applyFill="1" applyAlignment="1">
      <alignment vertical="center"/>
    </xf>
    <xf numFmtId="0" fontId="9" fillId="7" borderId="0" xfId="0" applyFont="1" applyFill="1" applyBorder="1" applyAlignment="1" applyProtection="1">
      <alignment vertical="center"/>
      <protection locked="0"/>
    </xf>
    <xf numFmtId="0" fontId="6" fillId="7" borderId="0" xfId="0" applyFont="1" applyFill="1" applyBorder="1" applyAlignment="1" applyProtection="1">
      <alignment vertical="center"/>
      <protection locked="0"/>
    </xf>
    <xf numFmtId="0" fontId="5" fillId="7" borderId="0" xfId="0" applyFont="1" applyFill="1" applyBorder="1" applyAlignment="1" applyProtection="1">
      <alignment vertical="center"/>
      <protection locked="0"/>
    </xf>
    <xf numFmtId="0" fontId="5" fillId="7" borderId="0" xfId="0" applyFont="1" applyFill="1" applyAlignment="1" applyProtection="1">
      <alignment vertical="center"/>
      <protection locked="0"/>
    </xf>
    <xf numFmtId="0" fontId="9" fillId="7" borderId="0" xfId="0" applyFont="1" applyFill="1" applyAlignment="1" applyProtection="1">
      <alignment horizontal="left" vertical="center"/>
      <protection locked="0"/>
    </xf>
    <xf numFmtId="0" fontId="5" fillId="7" borderId="0" xfId="0" applyFont="1" applyFill="1" applyBorder="1" applyAlignment="1" applyProtection="1">
      <alignment horizontal="left" vertical="center"/>
      <protection locked="0"/>
    </xf>
    <xf numFmtId="0" fontId="10" fillId="7" borderId="0" xfId="0" applyFont="1" applyFill="1" applyBorder="1" applyAlignment="1" applyProtection="1">
      <alignment horizontal="left" vertical="center"/>
      <protection locked="0"/>
    </xf>
    <xf numFmtId="8" fontId="5" fillId="7" borderId="0" xfId="0" applyNumberFormat="1" applyFont="1" applyFill="1" applyBorder="1" applyAlignment="1" applyProtection="1">
      <alignment horizontal="center" vertical="center"/>
    </xf>
    <xf numFmtId="8" fontId="6" fillId="7" borderId="0" xfId="0" applyNumberFormat="1" applyFont="1" applyFill="1" applyBorder="1" applyAlignment="1" applyProtection="1">
      <alignment horizontal="center" vertical="center"/>
    </xf>
    <xf numFmtId="0" fontId="10" fillId="7" borderId="0" xfId="0" applyFont="1" applyFill="1" applyBorder="1" applyAlignment="1">
      <alignment vertical="center"/>
    </xf>
    <xf numFmtId="0" fontId="5" fillId="7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17" fillId="7" borderId="0" xfId="0" applyFont="1" applyFill="1" applyBorder="1" applyAlignment="1">
      <alignment vertical="center"/>
    </xf>
    <xf numFmtId="166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5" fillId="7" borderId="0" xfId="0" applyNumberFormat="1" applyFont="1" applyFill="1" applyBorder="1" applyAlignment="1" applyProtection="1">
      <alignment horizontal="center" vertical="center"/>
      <protection locked="0"/>
    </xf>
    <xf numFmtId="166" fontId="5" fillId="7" borderId="0" xfId="0" applyNumberFormat="1" applyFont="1" applyFill="1" applyBorder="1" applyAlignment="1" applyProtection="1">
      <alignment horizontal="center" vertical="center"/>
    </xf>
    <xf numFmtId="166" fontId="5" fillId="7" borderId="0" xfId="0" applyNumberFormat="1" applyFont="1" applyFill="1" applyBorder="1" applyAlignment="1" applyProtection="1">
      <alignment horizontal="left" vertical="center"/>
      <protection locked="0"/>
    </xf>
    <xf numFmtId="166" fontId="12" fillId="7" borderId="0" xfId="0" applyNumberFormat="1" applyFont="1" applyFill="1" applyBorder="1" applyAlignment="1" applyProtection="1">
      <alignment horizontal="center" vertical="center"/>
      <protection locked="0"/>
    </xf>
    <xf numFmtId="166" fontId="19" fillId="7" borderId="0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165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6" fillId="7" borderId="0" xfId="0" applyNumberFormat="1" applyFont="1" applyFill="1" applyBorder="1" applyAlignment="1" applyProtection="1">
      <alignment horizontal="center" vertical="center"/>
      <protection locked="0"/>
    </xf>
    <xf numFmtId="9" fontId="14" fillId="7" borderId="0" xfId="0" applyNumberFormat="1" applyFont="1" applyFill="1" applyBorder="1" applyAlignment="1" applyProtection="1">
      <alignment horizontal="center" vertical="center"/>
    </xf>
    <xf numFmtId="0" fontId="6" fillId="7" borderId="0" xfId="0" applyFont="1" applyFill="1" applyBorder="1" applyAlignment="1" applyProtection="1">
      <alignment horizontal="center" vertical="center"/>
      <protection locked="0"/>
    </xf>
    <xf numFmtId="9" fontId="6" fillId="7" borderId="0" xfId="0" applyNumberFormat="1" applyFont="1" applyFill="1" applyBorder="1" applyAlignment="1" applyProtection="1">
      <alignment horizontal="center" vertical="center"/>
    </xf>
    <xf numFmtId="0" fontId="18" fillId="7" borderId="0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 applyProtection="1">
      <alignment horizontal="center" vertical="center"/>
      <protection locked="0"/>
    </xf>
    <xf numFmtId="0" fontId="9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Alignment="1" applyProtection="1">
      <alignment horizontal="center" vertical="center"/>
      <protection locked="0"/>
    </xf>
    <xf numFmtId="49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9" fillId="7" borderId="0" xfId="0" applyNumberFormat="1" applyFont="1" applyFill="1" applyBorder="1" applyAlignment="1">
      <alignment horizontal="center" vertical="center"/>
    </xf>
    <xf numFmtId="166" fontId="9" fillId="7" borderId="0" xfId="0" applyNumberFormat="1" applyFont="1" applyFill="1" applyBorder="1" applyAlignment="1" applyProtection="1">
      <alignment horizontal="center" vertical="center"/>
    </xf>
    <xf numFmtId="166" fontId="7" fillId="7" borderId="0" xfId="0" applyNumberFormat="1" applyFont="1" applyFill="1" applyBorder="1" applyAlignment="1" applyProtection="1">
      <alignment horizontal="center" vertical="center"/>
    </xf>
    <xf numFmtId="166" fontId="9" fillId="7" borderId="0" xfId="0" applyNumberFormat="1" applyFont="1" applyFill="1" applyAlignment="1">
      <alignment horizontal="center" vertical="center"/>
    </xf>
    <xf numFmtId="9" fontId="9" fillId="7" borderId="0" xfId="0" applyNumberFormat="1" applyFont="1" applyFill="1" applyBorder="1" applyAlignment="1" applyProtection="1">
      <alignment horizontal="center" vertical="center"/>
    </xf>
    <xf numFmtId="9" fontId="7" fillId="7" borderId="0" xfId="0" applyNumberFormat="1" applyFont="1" applyFill="1" applyBorder="1" applyAlignment="1" applyProtection="1">
      <alignment horizontal="center" vertical="center"/>
    </xf>
    <xf numFmtId="0" fontId="9" fillId="7" borderId="0" xfId="0" applyFont="1" applyFill="1" applyBorder="1" applyAlignment="1">
      <alignment vertical="center"/>
    </xf>
    <xf numFmtId="1" fontId="5" fillId="7" borderId="0" xfId="0" applyNumberFormat="1" applyFont="1" applyFill="1" applyAlignment="1">
      <alignment horizontal="right" vertical="center"/>
    </xf>
    <xf numFmtId="44" fontId="9" fillId="7" borderId="0" xfId="1" applyFont="1" applyFill="1" applyBorder="1" applyAlignment="1" applyProtection="1">
      <alignment horizontal="center" vertical="center"/>
      <protection locked="0"/>
    </xf>
    <xf numFmtId="167" fontId="15" fillId="7" borderId="0" xfId="0" applyNumberFormat="1" applyFont="1" applyFill="1" applyAlignment="1">
      <alignment horizontal="right" vertical="center"/>
    </xf>
    <xf numFmtId="49" fontId="5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Alignment="1" applyProtection="1">
      <alignment vertical="center"/>
      <protection locked="0"/>
    </xf>
    <xf numFmtId="166" fontId="9" fillId="7" borderId="0" xfId="0" applyNumberFormat="1" applyFont="1" applyFill="1" applyAlignment="1">
      <alignment vertical="center"/>
    </xf>
    <xf numFmtId="0" fontId="6" fillId="7" borderId="0" xfId="0" applyFont="1" applyFill="1" applyBorder="1" applyAlignment="1" applyProtection="1">
      <alignment horizontal="left" vertical="center"/>
      <protection locked="0"/>
    </xf>
    <xf numFmtId="4" fontId="9" fillId="7" borderId="0" xfId="0" applyNumberFormat="1" applyFont="1" applyFill="1" applyBorder="1" applyAlignment="1" applyProtection="1">
      <alignment horizontal="center" vertical="center"/>
      <protection locked="0"/>
    </xf>
    <xf numFmtId="166" fontId="4" fillId="7" borderId="0" xfId="0" applyNumberFormat="1" applyFont="1" applyFill="1" applyBorder="1" applyAlignment="1" applyProtection="1">
      <alignment horizontal="center" vertical="center"/>
    </xf>
    <xf numFmtId="165" fontId="5" fillId="7" borderId="0" xfId="0" applyNumberFormat="1" applyFont="1" applyFill="1" applyBorder="1" applyAlignment="1" applyProtection="1">
      <alignment horizontal="center" vertical="center"/>
      <protection locked="0"/>
    </xf>
    <xf numFmtId="1" fontId="5" fillId="7" borderId="0" xfId="2" applyNumberFormat="1" applyFont="1" applyFill="1" applyAlignment="1">
      <alignment horizontal="right" vertical="center"/>
    </xf>
    <xf numFmtId="165" fontId="6" fillId="7" borderId="0" xfId="0" applyNumberFormat="1" applyFont="1" applyFill="1" applyBorder="1" applyAlignment="1" applyProtection="1">
      <alignment horizontal="center" vertical="center"/>
      <protection locked="0"/>
    </xf>
    <xf numFmtId="165" fontId="5" fillId="7" borderId="0" xfId="0" applyNumberFormat="1" applyFont="1" applyFill="1" applyBorder="1" applyAlignment="1" applyProtection="1">
      <alignment horizontal="center" vertical="center"/>
      <protection locked="0"/>
    </xf>
    <xf numFmtId="10" fontId="9" fillId="7" borderId="0" xfId="0" applyNumberFormat="1" applyFont="1" applyFill="1" applyBorder="1" applyAlignment="1" applyProtection="1">
      <alignment horizontal="center" vertical="center"/>
    </xf>
    <xf numFmtId="168" fontId="5" fillId="7" borderId="0" xfId="0" applyNumberFormat="1" applyFont="1" applyFill="1" applyAlignment="1" applyProtection="1">
      <alignment horizontal="right" vertical="center"/>
      <protection locked="0"/>
    </xf>
    <xf numFmtId="166" fontId="7" fillId="7" borderId="0" xfId="0" applyNumberFormat="1" applyFont="1" applyFill="1" applyBorder="1" applyAlignment="1" applyProtection="1">
      <alignment horizontal="center" vertical="center"/>
      <protection locked="0"/>
    </xf>
    <xf numFmtId="0" fontId="9" fillId="7" borderId="0" xfId="0" applyFont="1" applyFill="1" applyBorder="1" applyAlignment="1" applyProtection="1">
      <alignment horizontal="left" vertical="center"/>
      <protection locked="0"/>
    </xf>
    <xf numFmtId="166" fontId="11" fillId="7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9" fillId="7" borderId="0" xfId="0" applyFont="1" applyFill="1" applyBorder="1" applyAlignment="1">
      <alignment horizontal="left"/>
    </xf>
    <xf numFmtId="172" fontId="9" fillId="7" borderId="0" xfId="0" applyNumberFormat="1" applyFont="1" applyFill="1" applyBorder="1" applyAlignment="1">
      <alignment horizontal="center" vertical="center"/>
    </xf>
    <xf numFmtId="0" fontId="23" fillId="7" borderId="0" xfId="0" applyFont="1" applyFill="1" applyBorder="1" applyAlignment="1" applyProtection="1">
      <protection locked="0"/>
    </xf>
    <xf numFmtId="0" fontId="4" fillId="7" borderId="0" xfId="0" applyNumberFormat="1" applyFont="1" applyFill="1" applyBorder="1" applyAlignment="1">
      <alignment horizontal="center"/>
    </xf>
    <xf numFmtId="0" fontId="9" fillId="7" borderId="0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>
      <alignment horizontal="center" vertical="center"/>
    </xf>
    <xf numFmtId="10" fontId="9" fillId="7" borderId="0" xfId="0" applyNumberFormat="1" applyFont="1" applyFill="1" applyBorder="1" applyAlignment="1" applyProtection="1">
      <alignment horizontal="center" vertical="center"/>
      <protection locked="0"/>
    </xf>
    <xf numFmtId="0" fontId="24" fillId="9" borderId="2" xfId="0" applyFont="1" applyFill="1" applyBorder="1" applyAlignment="1" applyProtection="1">
      <alignment horizontal="left" vertical="center"/>
      <protection locked="0"/>
    </xf>
    <xf numFmtId="0" fontId="24" fillId="9" borderId="2" xfId="0" applyFont="1" applyFill="1" applyBorder="1" applyAlignment="1" applyProtection="1">
      <alignment horizontal="center" vertical="center"/>
      <protection locked="0"/>
    </xf>
    <xf numFmtId="4" fontId="24" fillId="9" borderId="2" xfId="0" applyNumberFormat="1" applyFont="1" applyFill="1" applyBorder="1" applyAlignment="1" applyProtection="1">
      <alignment horizontal="center" vertical="center"/>
      <protection locked="0"/>
    </xf>
    <xf numFmtId="166" fontId="24" fillId="9" borderId="2" xfId="0" applyNumberFormat="1" applyFont="1" applyFill="1" applyBorder="1" applyAlignment="1" applyProtection="1">
      <alignment horizontal="center" vertical="center"/>
    </xf>
    <xf numFmtId="166" fontId="24" fillId="9" borderId="2" xfId="0" applyNumberFormat="1" applyFont="1" applyFill="1" applyBorder="1" applyAlignment="1" applyProtection="1">
      <alignment horizontal="center" vertical="center"/>
      <protection locked="0"/>
    </xf>
    <xf numFmtId="0" fontId="24" fillId="9" borderId="2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vertical="center"/>
    </xf>
    <xf numFmtId="0" fontId="25" fillId="9" borderId="2" xfId="0" applyFont="1" applyFill="1" applyBorder="1" applyAlignment="1" applyProtection="1">
      <alignment horizontal="center" vertical="center"/>
      <protection locked="0"/>
    </xf>
    <xf numFmtId="166" fontId="25" fillId="9" borderId="2" xfId="0" applyNumberFormat="1" applyFont="1" applyFill="1" applyBorder="1" applyAlignment="1" applyProtection="1">
      <alignment horizontal="center" vertical="center"/>
    </xf>
    <xf numFmtId="0" fontId="24" fillId="9" borderId="2" xfId="0" applyFont="1" applyFill="1" applyBorder="1" applyAlignment="1" applyProtection="1">
      <alignment vertical="center"/>
      <protection locked="0"/>
    </xf>
    <xf numFmtId="0" fontId="24" fillId="9" borderId="20" xfId="0" applyFont="1" applyFill="1" applyBorder="1" applyAlignment="1" applyProtection="1">
      <alignment horizontal="left" vertical="center"/>
      <protection locked="0"/>
    </xf>
    <xf numFmtId="0" fontId="24" fillId="8" borderId="2" xfId="0" applyFont="1" applyFill="1" applyBorder="1" applyAlignment="1">
      <alignment horizontal="left" vertical="center"/>
    </xf>
    <xf numFmtId="0" fontId="24" fillId="8" borderId="2" xfId="0" applyFont="1" applyFill="1" applyBorder="1" applyAlignment="1" applyProtection="1">
      <alignment horizontal="left" vertical="center"/>
      <protection locked="0"/>
    </xf>
    <xf numFmtId="44" fontId="6" fillId="7" borderId="0" xfId="1" applyFont="1" applyFill="1" applyBorder="1" applyAlignment="1" applyProtection="1">
      <alignment vertical="center"/>
      <protection locked="0"/>
    </xf>
    <xf numFmtId="9" fontId="5" fillId="7" borderId="0" xfId="0" applyNumberFormat="1" applyFont="1" applyFill="1" applyBorder="1" applyAlignment="1" applyProtection="1">
      <alignment horizontal="center" vertical="center"/>
    </xf>
    <xf numFmtId="1" fontId="6" fillId="7" borderId="0" xfId="0" applyNumberFormat="1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4" fillId="4" borderId="18" xfId="0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10" fontId="5" fillId="7" borderId="17" xfId="0" applyNumberFormat="1" applyFont="1" applyFill="1" applyBorder="1" applyAlignment="1" applyProtection="1">
      <alignment horizontal="center" vertical="center"/>
      <protection locked="0"/>
    </xf>
    <xf numFmtId="10" fontId="5" fillId="7" borderId="18" xfId="0" applyNumberFormat="1" applyFont="1" applyFill="1" applyBorder="1" applyAlignment="1" applyProtection="1">
      <alignment horizontal="center" vertical="center"/>
      <protection locked="0"/>
    </xf>
    <xf numFmtId="10" fontId="5" fillId="7" borderId="19" xfId="0" applyNumberFormat="1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right" vertical="center"/>
    </xf>
    <xf numFmtId="0" fontId="9" fillId="7" borderId="0" xfId="0" applyNumberFormat="1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right" vertical="center"/>
    </xf>
    <xf numFmtId="0" fontId="9" fillId="4" borderId="1" xfId="0" applyNumberFormat="1" applyFont="1" applyFill="1" applyBorder="1" applyAlignment="1">
      <alignment horizontal="left" vertical="center"/>
    </xf>
    <xf numFmtId="171" fontId="4" fillId="7" borderId="0" xfId="0" applyNumberFormat="1" applyFont="1" applyFill="1" applyBorder="1" applyAlignment="1">
      <alignment horizontal="right" vertical="center"/>
    </xf>
    <xf numFmtId="171" fontId="9" fillId="4" borderId="1" xfId="0" applyNumberFormat="1" applyFont="1" applyFill="1" applyBorder="1" applyAlignment="1">
      <alignment horizontal="left" vertical="center"/>
    </xf>
    <xf numFmtId="0" fontId="9" fillId="7" borderId="0" xfId="4" applyFont="1" applyFill="1" applyBorder="1" applyAlignment="1">
      <alignment horizontal="left" vertical="center"/>
    </xf>
    <xf numFmtId="0" fontId="26" fillId="8" borderId="2" xfId="0" applyFont="1" applyFill="1" applyBorder="1" applyAlignment="1" applyProtection="1">
      <alignment horizontal="center" vertical="center"/>
      <protection locked="0"/>
    </xf>
    <xf numFmtId="166" fontId="9" fillId="7" borderId="0" xfId="0" applyNumberFormat="1" applyFont="1" applyFill="1" applyBorder="1" applyAlignment="1" applyProtection="1">
      <alignment horizontal="left" vertical="center"/>
      <protection locked="0"/>
    </xf>
    <xf numFmtId="0" fontId="24" fillId="9" borderId="3" xfId="0" applyFont="1" applyFill="1" applyBorder="1" applyAlignment="1" applyProtection="1">
      <alignment horizontal="left" vertical="center"/>
      <protection locked="0"/>
    </xf>
    <xf numFmtId="0" fontId="22" fillId="9" borderId="4" xfId="0" applyFont="1" applyFill="1" applyBorder="1" applyAlignment="1">
      <alignment vertical="center"/>
    </xf>
    <xf numFmtId="0" fontId="22" fillId="9" borderId="5" xfId="0" applyFont="1" applyFill="1" applyBorder="1" applyAlignment="1">
      <alignment vertical="center"/>
    </xf>
    <xf numFmtId="0" fontId="24" fillId="9" borderId="3" xfId="0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21" fillId="5" borderId="3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 applyProtection="1">
      <alignment horizontal="center" vertical="center"/>
      <protection locked="0"/>
    </xf>
    <xf numFmtId="164" fontId="9" fillId="7" borderId="1" xfId="0" applyNumberFormat="1" applyFont="1" applyFill="1" applyBorder="1" applyAlignment="1" applyProtection="1">
      <alignment horizontal="center" vertical="center"/>
      <protection locked="0"/>
    </xf>
    <xf numFmtId="172" fontId="28" fillId="7" borderId="1" xfId="0" applyNumberFormat="1" applyFont="1" applyFill="1" applyBorder="1" applyAlignment="1">
      <alignment horizontal="center" vertical="center"/>
    </xf>
    <xf numFmtId="165" fontId="29" fillId="6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>
      <alignment vertical="center"/>
    </xf>
    <xf numFmtId="8" fontId="6" fillId="7" borderId="0" xfId="0" applyNumberFormat="1" applyFont="1" applyFill="1" applyBorder="1" applyAlignment="1" applyProtection="1">
      <alignment horizontal="center" vertical="center"/>
      <protection locked="0"/>
    </xf>
    <xf numFmtId="166" fontId="21" fillId="7" borderId="0" xfId="0" applyNumberFormat="1" applyFont="1" applyFill="1" applyBorder="1" applyAlignment="1" applyProtection="1">
      <alignment horizontal="center" vertical="center"/>
    </xf>
    <xf numFmtId="0" fontId="21" fillId="7" borderId="0" xfId="0" applyFont="1" applyFill="1" applyBorder="1" applyAlignment="1" applyProtection="1">
      <alignment vertical="center"/>
      <protection locked="0"/>
    </xf>
    <xf numFmtId="0" fontId="16" fillId="7" borderId="0" xfId="0" applyFont="1" applyFill="1" applyBorder="1" applyAlignment="1">
      <alignment vertical="center"/>
    </xf>
    <xf numFmtId="164" fontId="9" fillId="7" borderId="0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166" fontId="12" fillId="7" borderId="19" xfId="0" applyNumberFormat="1" applyFont="1" applyFill="1" applyBorder="1" applyAlignment="1" applyProtection="1">
      <alignment horizontal="center" vertical="center"/>
      <protection locked="0"/>
    </xf>
    <xf numFmtId="164" fontId="0" fillId="7" borderId="17" xfId="0" applyNumberFormat="1" applyFill="1" applyBorder="1" applyAlignment="1">
      <alignment horizontal="center" vertical="center"/>
    </xf>
    <xf numFmtId="164" fontId="0" fillId="7" borderId="18" xfId="0" applyNumberFormat="1" applyFill="1" applyBorder="1" applyAlignment="1">
      <alignment horizontal="center" vertical="center"/>
    </xf>
    <xf numFmtId="10" fontId="0" fillId="7" borderId="18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5" fillId="7" borderId="0" xfId="0" applyFont="1" applyFill="1" applyBorder="1" applyAlignment="1">
      <alignment horizontal="left" vertical="center"/>
    </xf>
    <xf numFmtId="0" fontId="21" fillId="7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vertical="center"/>
    </xf>
    <xf numFmtId="0" fontId="9" fillId="7" borderId="0" xfId="0" applyFont="1" applyFill="1" applyAlignment="1" applyProtection="1">
      <alignment vertical="center" wrapText="1"/>
      <protection locked="0"/>
    </xf>
    <xf numFmtId="10" fontId="9" fillId="0" borderId="2" xfId="0" applyNumberFormat="1" applyFont="1" applyFill="1" applyBorder="1" applyAlignment="1" applyProtection="1">
      <alignment horizontal="center" vertical="center"/>
    </xf>
    <xf numFmtId="10" fontId="7" fillId="7" borderId="0" xfId="0" applyNumberFormat="1" applyFont="1" applyFill="1" applyBorder="1" applyAlignment="1" applyProtection="1">
      <alignment horizontal="center" vertical="center"/>
    </xf>
    <xf numFmtId="10" fontId="9" fillId="0" borderId="0" xfId="0" applyNumberFormat="1" applyFont="1" applyFill="1" applyAlignment="1" applyProtection="1">
      <alignment horizontal="center" vertical="center"/>
      <protection locked="0"/>
    </xf>
    <xf numFmtId="165" fontId="29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166" fontId="5" fillId="7" borderId="1" xfId="0" applyNumberFormat="1" applyFont="1" applyFill="1" applyBorder="1" applyAlignment="1">
      <alignment horizontal="left" vertical="center"/>
    </xf>
    <xf numFmtId="1" fontId="5" fillId="7" borderId="1" xfId="0" applyNumberFormat="1" applyFont="1" applyFill="1" applyBorder="1" applyAlignment="1">
      <alignment horizontal="right" vertical="center"/>
    </xf>
    <xf numFmtId="1" fontId="5" fillId="7" borderId="1" xfId="2" applyNumberFormat="1" applyFont="1" applyFill="1" applyBorder="1" applyAlignment="1">
      <alignment horizontal="right" vertical="center"/>
    </xf>
    <xf numFmtId="167" fontId="5" fillId="7" borderId="1" xfId="2" applyNumberFormat="1" applyFont="1" applyFill="1" applyBorder="1" applyAlignment="1">
      <alignment horizontal="right" vertical="center"/>
    </xf>
    <xf numFmtId="168" fontId="5" fillId="7" borderId="1" xfId="0" applyNumberFormat="1" applyFont="1" applyFill="1" applyBorder="1" applyAlignment="1" applyProtection="1">
      <alignment horizontal="right" vertical="center"/>
      <protection locked="0"/>
    </xf>
    <xf numFmtId="0" fontId="5" fillId="7" borderId="1" xfId="0" applyFont="1" applyFill="1" applyBorder="1" applyAlignment="1" applyProtection="1">
      <alignment vertical="center"/>
      <protection locked="0"/>
    </xf>
    <xf numFmtId="166" fontId="5" fillId="7" borderId="1" xfId="0" applyNumberFormat="1" applyFont="1" applyFill="1" applyBorder="1" applyAlignment="1">
      <alignment vertical="center"/>
    </xf>
    <xf numFmtId="166" fontId="5" fillId="7" borderId="1" xfId="0" applyNumberFormat="1" applyFont="1" applyFill="1" applyBorder="1" applyAlignment="1" applyProtection="1">
      <alignment horizontal="right" vertical="center"/>
      <protection locked="0"/>
    </xf>
    <xf numFmtId="166" fontId="5" fillId="7" borderId="1" xfId="2" applyNumberFormat="1" applyFont="1" applyFill="1" applyBorder="1" applyAlignment="1">
      <alignment horizontal="right" vertical="center"/>
    </xf>
    <xf numFmtId="166" fontId="5" fillId="7" borderId="1" xfId="0" applyNumberFormat="1" applyFont="1" applyFill="1" applyBorder="1" applyAlignment="1" applyProtection="1">
      <alignment horizontal="left" vertical="center"/>
      <protection locked="0"/>
    </xf>
    <xf numFmtId="166" fontId="5" fillId="7" borderId="1" xfId="0" applyNumberFormat="1" applyFont="1" applyFill="1" applyBorder="1" applyAlignment="1" applyProtection="1">
      <alignment vertical="center"/>
      <protection locked="0"/>
    </xf>
    <xf numFmtId="165" fontId="5" fillId="7" borderId="1" xfId="2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 applyProtection="1">
      <alignment horizontal="right" vertical="center"/>
      <protection locked="0"/>
    </xf>
    <xf numFmtId="167" fontId="15" fillId="7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0" fontId="5" fillId="7" borderId="0" xfId="0" applyNumberFormat="1" applyFont="1" applyFill="1" applyBorder="1" applyAlignment="1" applyProtection="1">
      <alignment horizontal="center" vertical="center"/>
      <protection locked="0"/>
    </xf>
    <xf numFmtId="166" fontId="9" fillId="7" borderId="19" xfId="0" applyNumberFormat="1" applyFont="1" applyFill="1" applyBorder="1" applyAlignment="1" applyProtection="1">
      <alignment horizontal="center" vertical="center"/>
      <protection locked="0"/>
    </xf>
    <xf numFmtId="0" fontId="21" fillId="6" borderId="3" xfId="0" applyFont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166" fontId="9" fillId="10" borderId="2" xfId="0" applyNumberFormat="1" applyFont="1" applyFill="1" applyBorder="1" applyAlignment="1">
      <alignment horizontal="center" vertical="center"/>
    </xf>
    <xf numFmtId="165" fontId="29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1" fillId="5" borderId="11" xfId="0" applyFont="1" applyFill="1" applyBorder="1" applyAlignment="1" applyProtection="1">
      <alignment vertical="center"/>
      <protection locked="0"/>
    </xf>
    <xf numFmtId="0" fontId="16" fillId="5" borderId="12" xfId="0" applyFont="1" applyFill="1" applyBorder="1" applyAlignment="1">
      <alignment vertical="center"/>
    </xf>
    <xf numFmtId="0" fontId="16" fillId="5" borderId="13" xfId="0" applyFont="1" applyFill="1" applyBorder="1" applyAlignment="1">
      <alignment vertical="center"/>
    </xf>
    <xf numFmtId="0" fontId="5" fillId="4" borderId="11" xfId="0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66" fontId="9" fillId="0" borderId="9" xfId="0" applyNumberFormat="1" applyFont="1" applyFill="1" applyBorder="1" applyAlignment="1" applyProtection="1">
      <alignment horizontal="center" vertical="center"/>
    </xf>
    <xf numFmtId="166" fontId="9" fillId="0" borderId="11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9" fillId="0" borderId="9" xfId="0" applyFont="1" applyFill="1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9" fillId="0" borderId="11" xfId="0" applyFont="1" applyFill="1" applyBorder="1" applyAlignment="1" applyProtection="1">
      <alignment vertical="center"/>
      <protection locked="0"/>
    </xf>
    <xf numFmtId="0" fontId="24" fillId="8" borderId="3" xfId="0" applyFont="1" applyFill="1" applyBorder="1" applyAlignment="1" applyProtection="1">
      <alignment horizontal="left" vertical="center"/>
      <protection locked="0"/>
    </xf>
    <xf numFmtId="0" fontId="22" fillId="8" borderId="4" xfId="0" applyFont="1" applyFill="1" applyBorder="1" applyAlignment="1">
      <alignment vertical="center"/>
    </xf>
    <xf numFmtId="0" fontId="22" fillId="8" borderId="5" xfId="0" applyFont="1" applyFill="1" applyBorder="1" applyAlignment="1">
      <alignment vertical="center"/>
    </xf>
    <xf numFmtId="0" fontId="9" fillId="0" borderId="11" xfId="0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5" fillId="4" borderId="9" xfId="0" applyFont="1" applyFill="1" applyBorder="1" applyAlignment="1" applyProtection="1">
      <alignment horizontal="left" vertical="center"/>
      <protection locked="0"/>
    </xf>
    <xf numFmtId="166" fontId="21" fillId="5" borderId="3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166" fontId="9" fillId="0" borderId="7" xfId="0" applyNumberFormat="1" applyFont="1" applyFill="1" applyBorder="1" applyAlignment="1" applyProtection="1">
      <alignment horizontal="center" vertical="center"/>
    </xf>
    <xf numFmtId="0" fontId="24" fillId="9" borderId="3" xfId="0" applyFont="1" applyFill="1" applyBorder="1" applyAlignment="1" applyProtection="1">
      <alignment horizontal="center" vertical="center"/>
      <protection locked="0"/>
    </xf>
    <xf numFmtId="0" fontId="22" fillId="9" borderId="4" xfId="0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0" fontId="24" fillId="9" borderId="14" xfId="0" applyFont="1" applyFill="1" applyBorder="1" applyAlignment="1" applyProtection="1">
      <alignment horizontal="center" vertical="center"/>
      <protection locked="0"/>
    </xf>
    <xf numFmtId="0" fontId="22" fillId="9" borderId="15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10" fontId="30" fillId="10" borderId="20" xfId="0" applyNumberFormat="1" applyFont="1" applyFill="1" applyBorder="1" applyAlignment="1" applyProtection="1">
      <alignment horizontal="center" vertical="center"/>
      <protection locked="0"/>
    </xf>
    <xf numFmtId="169" fontId="30" fillId="10" borderId="22" xfId="0" applyNumberFormat="1" applyFont="1" applyFill="1" applyBorder="1" applyAlignment="1" applyProtection="1">
      <alignment horizontal="center" vertical="center"/>
      <protection locked="0"/>
    </xf>
    <xf numFmtId="166" fontId="30" fillId="10" borderId="22" xfId="0" applyNumberFormat="1" applyFont="1" applyFill="1" applyBorder="1" applyAlignment="1">
      <alignment horizontal="center" vertical="center"/>
    </xf>
    <xf numFmtId="166" fontId="30" fillId="10" borderId="22" xfId="0" applyNumberFormat="1" applyFont="1" applyFill="1" applyBorder="1" applyAlignment="1" applyProtection="1">
      <alignment horizontal="center" vertical="center"/>
    </xf>
    <xf numFmtId="166" fontId="30" fillId="10" borderId="21" xfId="0" applyNumberFormat="1" applyFont="1" applyFill="1" applyBorder="1" applyAlignment="1" applyProtection="1">
      <alignment horizontal="center" vertical="center"/>
    </xf>
    <xf numFmtId="166" fontId="30" fillId="10" borderId="2" xfId="0" applyNumberFormat="1" applyFont="1" applyFill="1" applyBorder="1" applyAlignment="1" applyProtection="1">
      <alignment horizontal="center" vertical="center"/>
    </xf>
    <xf numFmtId="166" fontId="30" fillId="10" borderId="20" xfId="0" applyNumberFormat="1" applyFont="1" applyFill="1" applyBorder="1" applyAlignment="1" applyProtection="1">
      <alignment horizontal="center" vertical="center"/>
    </xf>
    <xf numFmtId="166" fontId="30" fillId="10" borderId="21" xfId="0" applyNumberFormat="1" applyFont="1" applyFill="1" applyBorder="1" applyAlignment="1" applyProtection="1">
      <alignment horizontal="center" vertical="center"/>
      <protection locked="0"/>
    </xf>
    <xf numFmtId="166" fontId="30" fillId="10" borderId="2" xfId="0" applyNumberFormat="1" applyFont="1" applyFill="1" applyBorder="1" applyAlignment="1" applyProtection="1">
      <alignment horizontal="center" vertical="center"/>
      <protection locked="0"/>
    </xf>
    <xf numFmtId="166" fontId="30" fillId="10" borderId="22" xfId="0" applyNumberFormat="1" applyFont="1" applyFill="1" applyBorder="1" applyAlignment="1" applyProtection="1">
      <alignment horizontal="center" vertical="center"/>
      <protection locked="0"/>
    </xf>
    <xf numFmtId="166" fontId="30" fillId="10" borderId="20" xfId="0" applyNumberFormat="1" applyFont="1" applyFill="1" applyBorder="1" applyAlignment="1" applyProtection="1">
      <alignment horizontal="center" vertical="center"/>
      <protection locked="0"/>
    </xf>
    <xf numFmtId="166" fontId="30" fillId="7" borderId="19" xfId="0" applyNumberFormat="1" applyFont="1" applyFill="1" applyBorder="1" applyAlignment="1" applyProtection="1">
      <alignment horizontal="center" vertical="center"/>
      <protection locked="0"/>
    </xf>
    <xf numFmtId="8" fontId="31" fillId="5" borderId="2" xfId="0" applyNumberFormat="1" applyFont="1" applyFill="1" applyBorder="1" applyAlignment="1" applyProtection="1">
      <alignment horizontal="center" vertical="center"/>
      <protection locked="0"/>
    </xf>
    <xf numFmtId="166" fontId="30" fillId="10" borderId="18" xfId="0" applyNumberFormat="1" applyFont="1" applyFill="1" applyBorder="1" applyAlignment="1" applyProtection="1">
      <alignment horizontal="center" vertical="center" wrapText="1"/>
      <protection locked="0" hidden="1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9">
    <dxf>
      <font>
        <color rgb="FF00B050"/>
      </font>
    </dxf>
    <dxf>
      <font>
        <color rgb="FF00B050"/>
      </font>
    </dxf>
    <dxf>
      <font>
        <color rgb="FF00B050"/>
      </font>
    </dxf>
    <dxf>
      <numFmt numFmtId="173" formatCode=";;;"/>
    </dxf>
    <dxf>
      <font>
        <color rgb="FFFAFEC6"/>
      </font>
    </dxf>
    <dxf>
      <font>
        <color theme="5" tint="0.79998168889431442"/>
      </font>
    </dxf>
    <dxf>
      <font>
        <color rgb="FFFFFFCC"/>
      </font>
    </dxf>
    <dxf>
      <font>
        <color theme="6" tint="0.59996337778862885"/>
      </font>
    </dxf>
    <dxf>
      <font>
        <color theme="4" tint="0.79998168889431442"/>
      </font>
    </dxf>
  </dxfs>
  <tableStyles count="0" defaultTableStyle="TableStyleMedium9" defaultPivotStyle="PivotStyleLight16"/>
  <colors>
    <mruColors>
      <color rgb="FFC2D69A"/>
      <color rgb="FFFAFEC6"/>
      <color rgb="FFFFFFCC"/>
      <color rgb="FFFCD3B2"/>
      <color rgb="FFFFFF99"/>
      <color rgb="FFFFFFFF"/>
      <color rgb="FF993300"/>
      <color rgb="FFC00000"/>
      <color rgb="FFCCCC00"/>
      <color rgb="FFA5DBA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T190"/>
  <sheetViews>
    <sheetView showZeros="0" tabSelected="1" topLeftCell="A46" zoomScale="80" zoomScaleNormal="80" zoomScaleSheetLayoutView="100" workbookViewId="0">
      <selection activeCell="AE14" sqref="AE14"/>
    </sheetView>
  </sheetViews>
  <sheetFormatPr baseColWidth="10" defaultRowHeight="20.100000000000001" customHeight="1" x14ac:dyDescent="0.25"/>
  <cols>
    <col min="1" max="1" width="0.140625" style="21" customWidth="1"/>
    <col min="2" max="2" width="1.5703125" style="87" customWidth="1"/>
    <col min="3" max="3" width="34.42578125" style="21" bestFit="1" customWidth="1"/>
    <col min="4" max="4" width="1.7109375" style="87" customWidth="1"/>
    <col min="5" max="5" width="15.7109375" style="21" customWidth="1"/>
    <col min="6" max="6" width="1.7109375" style="21" customWidth="1"/>
    <col min="7" max="7" width="15.7109375" style="21" customWidth="1"/>
    <col min="8" max="8" width="1.7109375" style="87" customWidth="1"/>
    <col min="9" max="9" width="15.7109375" style="21" customWidth="1"/>
    <col min="10" max="10" width="1.7109375" style="21" customWidth="1"/>
    <col min="11" max="11" width="15.7109375" style="21" customWidth="1"/>
    <col min="12" max="12" width="1.7109375" style="87" customWidth="1"/>
    <col min="13" max="13" width="15.7109375" style="21" customWidth="1"/>
    <col min="14" max="14" width="1.7109375" style="21" customWidth="1"/>
    <col min="15" max="15" width="15.7109375" style="21" customWidth="1"/>
    <col min="16" max="16" width="5.28515625" style="87" customWidth="1"/>
    <col min="17" max="17" width="50" style="21" bestFit="1" customWidth="1"/>
    <col min="18" max="18" width="1.7109375" style="88" customWidth="1"/>
    <col min="19" max="19" width="13.7109375" style="21" customWidth="1"/>
    <col min="20" max="20" width="1.7109375" style="87" customWidth="1"/>
    <col min="21" max="21" width="13.7109375" style="21" customWidth="1"/>
    <col min="22" max="22" width="1.7109375" style="87" customWidth="1"/>
    <col min="23" max="23" width="13.85546875" style="21" bestFit="1" customWidth="1"/>
    <col min="24" max="24" width="1.7109375" style="87" customWidth="1"/>
    <col min="25" max="25" width="13.7109375" style="21" customWidth="1"/>
    <col min="26" max="26" width="1.7109375" style="21" customWidth="1"/>
    <col min="27" max="27" width="14.7109375" style="21" customWidth="1"/>
    <col min="28" max="28" width="1.7109375" style="21" customWidth="1"/>
    <col min="29" max="29" width="14.140625" style="21" bestFit="1" customWidth="1"/>
    <col min="30" max="30" width="1.7109375" style="21" customWidth="1"/>
    <col min="31" max="31" width="14.140625" style="21" bestFit="1" customWidth="1"/>
    <col min="32" max="32" width="1.7109375" style="21" customWidth="1"/>
    <col min="33" max="33" width="15.5703125" style="21" bestFit="1" customWidth="1"/>
    <col min="34" max="34" width="0.85546875" style="87" customWidth="1"/>
    <col min="35" max="35" width="11.42578125" style="87"/>
    <col min="36" max="36" width="0.85546875" style="21" customWidth="1"/>
    <col min="37" max="37" width="13.7109375" style="21" customWidth="1"/>
    <col min="38" max="38" width="16.28515625" style="21" customWidth="1"/>
    <col min="39" max="39" width="13.7109375" style="21" customWidth="1"/>
    <col min="40" max="40" width="0.85546875" style="21" customWidth="1"/>
    <col min="41" max="41" width="13.7109375" style="21" customWidth="1"/>
    <col min="42" max="42" width="0.85546875" style="21" customWidth="1"/>
    <col min="43" max="43" width="13.7109375" style="21" customWidth="1"/>
    <col min="44" max="44" width="0.85546875" style="21" customWidth="1"/>
    <col min="45" max="45" width="13.7109375" style="21" customWidth="1"/>
    <col min="46" max="16384" width="11.42578125" style="21"/>
  </cols>
  <sheetData>
    <row r="1" spans="1:46" s="86" customFormat="1" ht="20.100000000000001" customHeight="1" thickBot="1" x14ac:dyDescent="0.3">
      <c r="A1" s="85"/>
      <c r="B1" s="85"/>
      <c r="Q1" s="87"/>
      <c r="R1" s="88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</row>
    <row r="2" spans="1:46" ht="20.100000000000001" customHeight="1" thickBot="1" x14ac:dyDescent="0.3">
      <c r="C2" s="56" t="s">
        <v>132</v>
      </c>
      <c r="D2" s="95"/>
      <c r="E2" s="122"/>
      <c r="F2" s="103"/>
      <c r="G2" s="103"/>
      <c r="H2" s="103"/>
      <c r="I2" s="103"/>
      <c r="J2" s="95"/>
      <c r="K2" s="122"/>
      <c r="L2" s="103"/>
      <c r="M2" s="103"/>
      <c r="N2" s="103"/>
      <c r="O2" s="103"/>
      <c r="P2" s="95"/>
      <c r="Q2" s="167" t="s">
        <v>92</v>
      </c>
      <c r="R2" s="87"/>
      <c r="S2" s="166" t="s">
        <v>103</v>
      </c>
      <c r="U2" s="87"/>
      <c r="W2" s="91"/>
      <c r="X2" s="225"/>
      <c r="Y2" s="194" t="s">
        <v>91</v>
      </c>
      <c r="Z2" s="192"/>
      <c r="AA2" s="193"/>
      <c r="AC2" s="166" t="s">
        <v>103</v>
      </c>
      <c r="AD2" s="87"/>
      <c r="AE2" s="87"/>
      <c r="AF2" s="87"/>
      <c r="AG2" s="87"/>
      <c r="AH2" s="21"/>
      <c r="AJ2" s="87"/>
      <c r="AK2" s="87"/>
      <c r="AL2" s="87"/>
      <c r="AM2" s="87"/>
      <c r="AN2" s="87"/>
      <c r="AO2" s="87"/>
      <c r="AP2" s="87"/>
      <c r="AQ2" s="87"/>
      <c r="AR2" s="87"/>
    </row>
    <row r="3" spans="1:46" ht="20.100000000000001" customHeight="1" thickBot="1" x14ac:dyDescent="0.3">
      <c r="C3" s="20"/>
      <c r="E3" s="87"/>
      <c r="F3" s="91"/>
      <c r="G3" s="87"/>
      <c r="H3" s="91"/>
      <c r="I3" s="91"/>
      <c r="J3" s="91"/>
      <c r="K3" s="91"/>
      <c r="L3" s="91"/>
      <c r="M3" s="91"/>
      <c r="N3" s="91"/>
      <c r="O3" s="91"/>
      <c r="P3" s="91"/>
      <c r="R3" s="87"/>
      <c r="U3" s="87"/>
      <c r="W3" s="91"/>
      <c r="X3" s="91"/>
      <c r="Y3" s="87"/>
      <c r="Z3" s="87"/>
      <c r="AA3" s="87"/>
      <c r="AB3" s="87"/>
      <c r="AC3" s="87"/>
      <c r="AD3" s="87"/>
      <c r="AE3" s="87"/>
      <c r="AF3" s="87"/>
      <c r="AG3" s="87"/>
      <c r="AH3" s="21"/>
      <c r="AJ3" s="87"/>
      <c r="AK3" s="87"/>
      <c r="AL3" s="87"/>
      <c r="AM3" s="87"/>
      <c r="AN3" s="87"/>
      <c r="AO3" s="87"/>
      <c r="AP3" s="87"/>
      <c r="AQ3" s="87"/>
      <c r="AR3" s="87"/>
    </row>
    <row r="4" spans="1:46" ht="20.100000000000001" customHeight="1" thickBot="1" x14ac:dyDescent="0.3">
      <c r="C4" s="168" t="s">
        <v>48</v>
      </c>
      <c r="D4" s="96"/>
      <c r="E4" s="293" t="s">
        <v>49</v>
      </c>
      <c r="F4" s="294"/>
      <c r="G4" s="295"/>
      <c r="H4" s="104"/>
      <c r="I4" s="293" t="s">
        <v>50</v>
      </c>
      <c r="J4" s="294"/>
      <c r="K4" s="295"/>
      <c r="L4" s="104"/>
      <c r="M4" s="290" t="s">
        <v>51</v>
      </c>
      <c r="N4" s="291"/>
      <c r="O4" s="292"/>
      <c r="P4" s="104"/>
      <c r="Q4" s="45" t="s">
        <v>44</v>
      </c>
      <c r="R4" s="96"/>
      <c r="S4" s="67"/>
      <c r="U4" s="87"/>
      <c r="W4" s="91"/>
      <c r="X4" s="91"/>
      <c r="Y4" s="195" t="s">
        <v>127</v>
      </c>
      <c r="Z4" s="196"/>
      <c r="AA4" s="197"/>
      <c r="AB4" s="87"/>
      <c r="AC4" s="216"/>
      <c r="AD4" s="87"/>
      <c r="AE4" s="87"/>
      <c r="AF4" s="124"/>
      <c r="AG4" s="87"/>
      <c r="AH4" s="21"/>
      <c r="AJ4" s="87"/>
      <c r="AK4" s="87"/>
      <c r="AL4" s="87"/>
      <c r="AM4" s="87"/>
      <c r="AN4" s="87"/>
      <c r="AO4" s="87"/>
      <c r="AP4" s="87"/>
      <c r="AQ4" s="87"/>
      <c r="AR4" s="87"/>
    </row>
    <row r="5" spans="1:46" ht="20.100000000000001" customHeight="1" x14ac:dyDescent="0.25">
      <c r="C5" s="42" t="s">
        <v>19</v>
      </c>
      <c r="D5" s="96"/>
      <c r="E5" s="286"/>
      <c r="F5" s="287"/>
      <c r="G5" s="288"/>
      <c r="H5" s="104"/>
      <c r="I5" s="286"/>
      <c r="J5" s="287"/>
      <c r="K5" s="288"/>
      <c r="L5" s="104"/>
      <c r="M5" s="286"/>
      <c r="N5" s="287"/>
      <c r="O5" s="288"/>
      <c r="P5" s="104"/>
      <c r="Q5" s="43" t="s">
        <v>105</v>
      </c>
      <c r="R5" s="91"/>
      <c r="S5" s="68"/>
      <c r="U5" s="87"/>
      <c r="W5" s="91"/>
      <c r="X5" s="91"/>
      <c r="Y5" s="198" t="s">
        <v>128</v>
      </c>
      <c r="Z5" s="219"/>
      <c r="AA5" s="199"/>
      <c r="AB5" s="87"/>
      <c r="AC5" s="217"/>
      <c r="AD5" s="87"/>
      <c r="AE5" s="87"/>
      <c r="AF5" s="124"/>
      <c r="AG5" s="87"/>
      <c r="AH5" s="21"/>
      <c r="AJ5" s="87"/>
      <c r="AK5" s="87"/>
      <c r="AL5" s="87"/>
      <c r="AM5" s="87"/>
      <c r="AN5" s="87"/>
      <c r="AO5" s="87"/>
      <c r="AP5" s="87"/>
      <c r="AQ5" s="87"/>
      <c r="AR5" s="87"/>
    </row>
    <row r="6" spans="1:46" ht="20.100000000000001" customHeight="1" x14ac:dyDescent="0.25">
      <c r="C6" s="43" t="s">
        <v>20</v>
      </c>
      <c r="D6" s="96"/>
      <c r="E6" s="286"/>
      <c r="F6" s="287"/>
      <c r="G6" s="288"/>
      <c r="H6" s="104"/>
      <c r="I6" s="286"/>
      <c r="J6" s="287"/>
      <c r="K6" s="288"/>
      <c r="L6" s="104"/>
      <c r="M6" s="286"/>
      <c r="N6" s="287"/>
      <c r="O6" s="288"/>
      <c r="P6" s="104"/>
      <c r="Q6" s="43" t="s">
        <v>31</v>
      </c>
      <c r="R6" s="91"/>
      <c r="S6" s="68">
        <f>S5*21%</f>
        <v>0</v>
      </c>
      <c r="U6" s="87"/>
      <c r="W6" s="91"/>
      <c r="X6" s="91"/>
      <c r="Y6" s="198" t="s">
        <v>129</v>
      </c>
      <c r="Z6" s="219"/>
      <c r="AA6" s="199"/>
      <c r="AB6" s="87"/>
      <c r="AC6" s="218"/>
      <c r="AD6" s="87"/>
      <c r="AE6" s="87"/>
      <c r="AF6" s="125"/>
      <c r="AG6" s="87"/>
      <c r="AH6" s="21"/>
      <c r="AJ6" s="87"/>
      <c r="AK6" s="87"/>
      <c r="AL6" s="87"/>
      <c r="AM6" s="87"/>
      <c r="AN6" s="87"/>
      <c r="AO6" s="87"/>
      <c r="AP6" s="87"/>
      <c r="AQ6" s="87"/>
      <c r="AR6" s="87"/>
    </row>
    <row r="7" spans="1:46" ht="20.100000000000001" customHeight="1" x14ac:dyDescent="0.25">
      <c r="C7" s="43" t="s">
        <v>27</v>
      </c>
      <c r="D7" s="96"/>
      <c r="E7" s="286"/>
      <c r="F7" s="287"/>
      <c r="G7" s="288"/>
      <c r="H7" s="104"/>
      <c r="I7" s="286"/>
      <c r="J7" s="287"/>
      <c r="K7" s="288"/>
      <c r="L7" s="104"/>
      <c r="M7" s="286"/>
      <c r="N7" s="287"/>
      <c r="O7" s="288"/>
      <c r="P7" s="104"/>
      <c r="Q7" s="46" t="s">
        <v>29</v>
      </c>
      <c r="R7" s="91"/>
      <c r="S7" s="69">
        <f>S5+S6</f>
        <v>0</v>
      </c>
      <c r="U7" s="87"/>
      <c r="W7" s="91"/>
      <c r="X7" s="91"/>
      <c r="Y7" s="198" t="s">
        <v>40</v>
      </c>
      <c r="Z7" s="219"/>
      <c r="AA7" s="199"/>
      <c r="AB7" s="87"/>
      <c r="AC7" s="68"/>
      <c r="AD7" s="87"/>
      <c r="AE7" s="87"/>
      <c r="AF7" s="126"/>
      <c r="AG7" s="87"/>
      <c r="AH7" s="21"/>
      <c r="AJ7" s="87"/>
      <c r="AK7" s="87"/>
      <c r="AL7" s="87"/>
      <c r="AM7" s="87"/>
      <c r="AN7" s="87"/>
      <c r="AO7" s="87"/>
      <c r="AP7" s="87"/>
      <c r="AQ7" s="87"/>
      <c r="AR7" s="87"/>
    </row>
    <row r="8" spans="1:46" ht="20.100000000000001" customHeight="1" thickBot="1" x14ac:dyDescent="0.3">
      <c r="C8" s="43" t="s">
        <v>52</v>
      </c>
      <c r="D8" s="93"/>
      <c r="E8" s="286"/>
      <c r="F8" s="287"/>
      <c r="G8" s="288"/>
      <c r="H8" s="104"/>
      <c r="I8" s="286"/>
      <c r="J8" s="287"/>
      <c r="K8" s="288"/>
      <c r="L8" s="104"/>
      <c r="M8" s="286"/>
      <c r="N8" s="287"/>
      <c r="O8" s="288"/>
      <c r="P8" s="104"/>
      <c r="Q8" s="46" t="s">
        <v>5</v>
      </c>
      <c r="R8" s="91"/>
      <c r="S8" s="69"/>
      <c r="U8" s="87"/>
      <c r="W8" s="91"/>
      <c r="X8" s="91"/>
      <c r="Y8" s="220" t="s">
        <v>41</v>
      </c>
      <c r="Z8" s="221"/>
      <c r="AA8" s="222"/>
      <c r="AB8" s="87"/>
      <c r="AC8" s="309">
        <f>CHOOSE(MATCH(AC4,AE$83:AE$99,1),AF84,AF85,AF86,AF87,AF88,AF89,AF90,AF91,AF92,AF93,AF94,AF95,AF96,AF97,AF98,AF99)</f>
        <v>391.1</v>
      </c>
      <c r="AD8" s="87"/>
      <c r="AE8" s="87"/>
      <c r="AF8" s="126"/>
      <c r="AG8" s="87"/>
      <c r="AH8" s="21"/>
      <c r="AJ8" s="87"/>
      <c r="AK8" s="87"/>
      <c r="AL8" s="87"/>
      <c r="AM8" s="87"/>
      <c r="AN8" s="87"/>
      <c r="AO8" s="87"/>
      <c r="AP8" s="87"/>
      <c r="AQ8" s="87"/>
      <c r="AR8" s="87"/>
    </row>
    <row r="9" spans="1:46" ht="20.100000000000001" customHeight="1" thickBot="1" x14ac:dyDescent="0.3">
      <c r="C9" s="43" t="s">
        <v>37</v>
      </c>
      <c r="D9" s="96"/>
      <c r="E9" s="286"/>
      <c r="F9" s="287"/>
      <c r="G9" s="288"/>
      <c r="H9" s="104"/>
      <c r="I9" s="286"/>
      <c r="J9" s="287"/>
      <c r="K9" s="288"/>
      <c r="L9" s="104"/>
      <c r="M9" s="286"/>
      <c r="N9" s="287"/>
      <c r="O9" s="288"/>
      <c r="P9" s="104"/>
      <c r="Q9" s="53" t="s">
        <v>104</v>
      </c>
      <c r="R9" s="91"/>
      <c r="S9" s="70">
        <f>SUM(S4:S8)</f>
        <v>0</v>
      </c>
      <c r="U9" s="87"/>
      <c r="W9" s="91"/>
      <c r="X9" s="91"/>
      <c r="Y9" s="200" t="s">
        <v>42</v>
      </c>
      <c r="Z9" s="201"/>
      <c r="AA9" s="202"/>
      <c r="AB9" s="87"/>
      <c r="AC9" s="308">
        <f>SUM(AC5:AC8)</f>
        <v>391.1</v>
      </c>
      <c r="AD9" s="87"/>
      <c r="AE9" s="87"/>
      <c r="AF9" s="126"/>
      <c r="AG9" s="87"/>
      <c r="AH9" s="126"/>
      <c r="AK9" s="87"/>
      <c r="AL9" s="87"/>
      <c r="AM9" s="87"/>
      <c r="AN9" s="87"/>
      <c r="AO9" s="87"/>
      <c r="AP9" s="87"/>
      <c r="AQ9" s="87"/>
      <c r="AR9" s="87"/>
      <c r="AS9" s="87"/>
      <c r="AT9" s="87"/>
    </row>
    <row r="10" spans="1:46" ht="20.100000000000001" customHeight="1" x14ac:dyDescent="0.25">
      <c r="C10" s="43" t="s">
        <v>53</v>
      </c>
      <c r="D10" s="96"/>
      <c r="E10" s="286"/>
      <c r="F10" s="287"/>
      <c r="G10" s="288"/>
      <c r="H10" s="104"/>
      <c r="I10" s="286"/>
      <c r="J10" s="287"/>
      <c r="K10" s="288"/>
      <c r="L10" s="104"/>
      <c r="M10" s="286"/>
      <c r="N10" s="287"/>
      <c r="O10" s="288"/>
      <c r="P10" s="104"/>
      <c r="R10" s="87"/>
      <c r="U10" s="87"/>
      <c r="W10" s="224"/>
      <c r="Y10" s="87"/>
      <c r="Z10" s="87"/>
      <c r="AA10" s="87"/>
      <c r="AB10" s="87"/>
      <c r="AC10" s="87"/>
      <c r="AD10" s="87"/>
      <c r="AE10" s="87"/>
      <c r="AF10" s="87"/>
      <c r="AG10" s="87"/>
      <c r="AH10" s="126"/>
      <c r="AK10" s="87"/>
      <c r="AL10" s="87"/>
      <c r="AM10" s="87"/>
      <c r="AN10" s="87"/>
      <c r="AO10" s="87"/>
      <c r="AP10" s="87"/>
      <c r="AQ10" s="87"/>
      <c r="AR10" s="87"/>
      <c r="AS10" s="87"/>
      <c r="AT10" s="87"/>
    </row>
    <row r="11" spans="1:46" ht="20.100000000000001" customHeight="1" thickBot="1" x14ac:dyDescent="0.3">
      <c r="C11" s="43" t="s">
        <v>54</v>
      </c>
      <c r="D11" s="96"/>
      <c r="E11" s="286"/>
      <c r="F11" s="287"/>
      <c r="G11" s="288"/>
      <c r="H11" s="105"/>
      <c r="I11" s="286"/>
      <c r="J11" s="287"/>
      <c r="K11" s="288"/>
      <c r="L11" s="105"/>
      <c r="M11" s="286"/>
      <c r="N11" s="287"/>
      <c r="O11" s="288"/>
      <c r="P11" s="105"/>
      <c r="Q11" s="87"/>
      <c r="R11" s="87"/>
      <c r="S11" s="87"/>
      <c r="U11" s="87"/>
      <c r="W11" s="87"/>
      <c r="Y11" s="87"/>
      <c r="Z11" s="87"/>
      <c r="AA11" s="87"/>
      <c r="AB11" s="87"/>
      <c r="AC11" s="87"/>
      <c r="AD11" s="87"/>
      <c r="AE11" s="87"/>
      <c r="AF11" s="87"/>
      <c r="AG11" s="87"/>
      <c r="AH11" s="126"/>
      <c r="AK11" s="87"/>
      <c r="AL11" s="87"/>
      <c r="AM11" s="87"/>
      <c r="AN11" s="87"/>
      <c r="AO11" s="87"/>
      <c r="AP11" s="87"/>
      <c r="AQ11" s="87"/>
      <c r="AR11" s="87"/>
      <c r="AS11" s="87"/>
      <c r="AT11" s="87"/>
    </row>
    <row r="12" spans="1:46" ht="20.100000000000001" customHeight="1" thickBot="1" x14ac:dyDescent="0.3">
      <c r="C12" s="43" t="s">
        <v>55</v>
      </c>
      <c r="D12" s="96"/>
      <c r="E12" s="286"/>
      <c r="F12" s="287"/>
      <c r="G12" s="288"/>
      <c r="H12" s="104"/>
      <c r="I12" s="286"/>
      <c r="J12" s="287"/>
      <c r="K12" s="288"/>
      <c r="L12" s="104"/>
      <c r="M12" s="286"/>
      <c r="N12" s="287"/>
      <c r="O12" s="288"/>
      <c r="P12" s="104"/>
      <c r="Q12" s="164" t="s">
        <v>93</v>
      </c>
      <c r="R12" s="91"/>
      <c r="S12" s="165" t="s">
        <v>96</v>
      </c>
      <c r="U12" s="165" t="s">
        <v>94</v>
      </c>
      <c r="W12" s="165" t="s">
        <v>95</v>
      </c>
      <c r="Y12" s="87"/>
      <c r="Z12" s="87"/>
      <c r="AA12" s="87"/>
      <c r="AB12" s="87"/>
      <c r="AC12" s="87"/>
      <c r="AD12" s="87"/>
      <c r="AE12" s="87"/>
      <c r="AF12" s="87"/>
      <c r="AG12" s="87"/>
      <c r="AH12" s="104"/>
      <c r="AK12" s="87"/>
      <c r="AL12" s="87"/>
      <c r="AM12" s="87"/>
      <c r="AN12" s="87"/>
      <c r="AO12" s="87"/>
      <c r="AP12" s="87"/>
      <c r="AQ12" s="87"/>
      <c r="AR12" s="87"/>
      <c r="AS12" s="87"/>
      <c r="AT12" s="87"/>
    </row>
    <row r="13" spans="1:46" ht="20.100000000000001" customHeight="1" thickBot="1" x14ac:dyDescent="0.3">
      <c r="C13" s="43" t="s">
        <v>56</v>
      </c>
      <c r="D13" s="97"/>
      <c r="E13" s="286"/>
      <c r="F13" s="287"/>
      <c r="G13" s="288"/>
      <c r="H13" s="106"/>
      <c r="I13" s="286"/>
      <c r="J13" s="287"/>
      <c r="K13" s="288"/>
      <c r="L13" s="106"/>
      <c r="M13" s="286"/>
      <c r="N13" s="287"/>
      <c r="O13" s="288"/>
      <c r="P13" s="106"/>
      <c r="Q13" s="24"/>
      <c r="R13" s="91"/>
      <c r="S13" s="17"/>
      <c r="Y13" s="87"/>
      <c r="Z13" s="87"/>
      <c r="AA13" s="87"/>
      <c r="AB13" s="87"/>
      <c r="AC13" s="87"/>
      <c r="AD13" s="87"/>
      <c r="AE13" s="87"/>
      <c r="AF13" s="87"/>
      <c r="AG13" s="87"/>
      <c r="AH13" s="104"/>
      <c r="AK13" s="87"/>
      <c r="AL13" s="87"/>
      <c r="AM13" s="87"/>
      <c r="AN13" s="87"/>
      <c r="AO13" s="87"/>
      <c r="AP13" s="87"/>
      <c r="AQ13" s="87"/>
      <c r="AR13" s="87"/>
      <c r="AS13" s="87"/>
      <c r="AT13" s="87"/>
    </row>
    <row r="14" spans="1:46" ht="20.100000000000001" customHeight="1" x14ac:dyDescent="0.25">
      <c r="C14" s="43" t="s">
        <v>57</v>
      </c>
      <c r="D14" s="97"/>
      <c r="E14" s="286"/>
      <c r="F14" s="287"/>
      <c r="G14" s="288"/>
      <c r="H14" s="104"/>
      <c r="I14" s="286"/>
      <c r="J14" s="287"/>
      <c r="K14" s="288"/>
      <c r="L14" s="104"/>
      <c r="M14" s="286"/>
      <c r="N14" s="287"/>
      <c r="O14" s="288"/>
      <c r="P14" s="104"/>
      <c r="Q14" s="45" t="s">
        <v>97</v>
      </c>
      <c r="R14" s="116"/>
      <c r="S14" s="71"/>
      <c r="U14" s="71">
        <f t="shared" ref="U14:U20" si="0">S14*21%</f>
        <v>0</v>
      </c>
      <c r="W14" s="71">
        <f t="shared" ref="W14:W20" si="1">S14+U14</f>
        <v>0</v>
      </c>
      <c r="Y14" s="87"/>
      <c r="Z14" s="87"/>
      <c r="AA14" s="226"/>
      <c r="AB14" s="87"/>
      <c r="AC14" s="87"/>
      <c r="AD14" s="87"/>
      <c r="AE14" s="87"/>
      <c r="AF14" s="87"/>
      <c r="AG14" s="87"/>
      <c r="AH14" s="104"/>
      <c r="AK14" s="87"/>
      <c r="AL14" s="87"/>
      <c r="AM14" s="87"/>
      <c r="AN14" s="87"/>
      <c r="AO14" s="87"/>
      <c r="AP14" s="87"/>
      <c r="AQ14" s="87"/>
      <c r="AR14" s="87"/>
      <c r="AS14" s="87"/>
      <c r="AT14" s="87"/>
    </row>
    <row r="15" spans="1:46" ht="20.100000000000001" customHeight="1" x14ac:dyDescent="0.25">
      <c r="C15" s="43" t="s">
        <v>58</v>
      </c>
      <c r="D15" s="97"/>
      <c r="E15" s="286"/>
      <c r="F15" s="287"/>
      <c r="G15" s="288"/>
      <c r="H15" s="104"/>
      <c r="I15" s="286"/>
      <c r="J15" s="287"/>
      <c r="K15" s="288"/>
      <c r="L15" s="104"/>
      <c r="M15" s="286"/>
      <c r="N15" s="287"/>
      <c r="O15" s="288"/>
      <c r="P15" s="104"/>
      <c r="Q15" s="47" t="s">
        <v>98</v>
      </c>
      <c r="R15" s="117"/>
      <c r="S15" s="72"/>
      <c r="U15" s="68">
        <f t="shared" si="0"/>
        <v>0</v>
      </c>
      <c r="W15" s="68">
        <f t="shared" si="1"/>
        <v>0</v>
      </c>
      <c r="Y15" s="87"/>
      <c r="Z15" s="87"/>
      <c r="AA15" s="87"/>
      <c r="AB15" s="87"/>
      <c r="AC15" s="87"/>
      <c r="AD15" s="87"/>
      <c r="AE15" s="87"/>
      <c r="AF15" s="87"/>
      <c r="AG15" s="87"/>
      <c r="AH15" s="104"/>
      <c r="AK15" s="87"/>
      <c r="AL15" s="87"/>
      <c r="AM15" s="87"/>
      <c r="AN15" s="87"/>
      <c r="AO15" s="87"/>
      <c r="AP15" s="87"/>
      <c r="AQ15" s="87"/>
      <c r="AR15" s="87"/>
      <c r="AS15" s="87"/>
      <c r="AT15" s="87"/>
    </row>
    <row r="16" spans="1:46" ht="20.100000000000001" customHeight="1" x14ac:dyDescent="0.25">
      <c r="C16" s="43" t="s">
        <v>36</v>
      </c>
      <c r="D16" s="97"/>
      <c r="E16" s="286"/>
      <c r="F16" s="287"/>
      <c r="G16" s="288"/>
      <c r="H16" s="104"/>
      <c r="I16" s="286"/>
      <c r="J16" s="287"/>
      <c r="K16" s="288"/>
      <c r="L16" s="104"/>
      <c r="M16" s="286"/>
      <c r="N16" s="287"/>
      <c r="O16" s="288"/>
      <c r="P16" s="104"/>
      <c r="Q16" s="47" t="s">
        <v>99</v>
      </c>
      <c r="R16" s="117"/>
      <c r="S16" s="72"/>
      <c r="U16" s="68">
        <f t="shared" si="0"/>
        <v>0</v>
      </c>
      <c r="W16" s="68">
        <f t="shared" si="1"/>
        <v>0</v>
      </c>
      <c r="Y16" s="87"/>
      <c r="Z16" s="87"/>
      <c r="AA16" s="87"/>
      <c r="AB16" s="87"/>
      <c r="AC16" s="87"/>
      <c r="AD16" s="87"/>
      <c r="AE16" s="87"/>
      <c r="AF16" s="87"/>
      <c r="AG16" s="87"/>
      <c r="AH16" s="104"/>
      <c r="AK16" s="87"/>
      <c r="AL16" s="87"/>
      <c r="AM16" s="87"/>
      <c r="AN16" s="87"/>
      <c r="AO16" s="87"/>
      <c r="AP16" s="87"/>
      <c r="AQ16" s="87"/>
      <c r="AR16" s="87"/>
      <c r="AS16" s="87"/>
      <c r="AT16" s="87"/>
    </row>
    <row r="17" spans="3:46" ht="20.100000000000001" customHeight="1" x14ac:dyDescent="0.25">
      <c r="C17" s="43" t="s">
        <v>59</v>
      </c>
      <c r="D17" s="97"/>
      <c r="E17" s="286"/>
      <c r="F17" s="287"/>
      <c r="G17" s="288"/>
      <c r="H17" s="104"/>
      <c r="I17" s="286"/>
      <c r="J17" s="287"/>
      <c r="K17" s="288"/>
      <c r="L17" s="104"/>
      <c r="M17" s="286"/>
      <c r="N17" s="287"/>
      <c r="O17" s="288"/>
      <c r="P17" s="104"/>
      <c r="Q17" s="47" t="s">
        <v>100</v>
      </c>
      <c r="R17" s="117"/>
      <c r="S17" s="72"/>
      <c r="U17" s="68">
        <f t="shared" si="0"/>
        <v>0</v>
      </c>
      <c r="W17" s="68">
        <f t="shared" si="1"/>
        <v>0</v>
      </c>
      <c r="Y17" s="87"/>
      <c r="Z17" s="87"/>
      <c r="AA17" s="87"/>
      <c r="AB17" s="87"/>
      <c r="AC17" s="87"/>
      <c r="AD17" s="87"/>
      <c r="AE17" s="87"/>
      <c r="AF17" s="87"/>
      <c r="AG17" s="87"/>
      <c r="AH17" s="104"/>
      <c r="AK17" s="87"/>
      <c r="AL17" s="87"/>
      <c r="AM17" s="87"/>
      <c r="AN17" s="87"/>
      <c r="AO17" s="87"/>
      <c r="AP17" s="87"/>
      <c r="AQ17" s="87"/>
      <c r="AR17" s="87"/>
      <c r="AS17" s="87"/>
      <c r="AT17" s="87"/>
    </row>
    <row r="18" spans="3:46" ht="20.100000000000001" customHeight="1" x14ac:dyDescent="0.25">
      <c r="C18" s="43" t="s">
        <v>60</v>
      </c>
      <c r="D18" s="97"/>
      <c r="E18" s="286"/>
      <c r="F18" s="287"/>
      <c r="G18" s="288"/>
      <c r="H18" s="104"/>
      <c r="I18" s="286"/>
      <c r="J18" s="287"/>
      <c r="K18" s="288"/>
      <c r="L18" s="104"/>
      <c r="M18" s="286"/>
      <c r="N18" s="287"/>
      <c r="O18" s="288"/>
      <c r="P18" s="104"/>
      <c r="Q18" s="48" t="s">
        <v>33</v>
      </c>
      <c r="R18" s="117"/>
      <c r="S18" s="72"/>
      <c r="U18" s="68">
        <f t="shared" si="0"/>
        <v>0</v>
      </c>
      <c r="W18" s="68">
        <f t="shared" si="1"/>
        <v>0</v>
      </c>
      <c r="Y18" s="87"/>
      <c r="Z18" s="87"/>
      <c r="AA18" s="87"/>
      <c r="AB18" s="87"/>
      <c r="AC18" s="87"/>
      <c r="AD18" s="87"/>
      <c r="AE18" s="87"/>
      <c r="AF18" s="87"/>
      <c r="AG18" s="87"/>
      <c r="AH18" s="104"/>
      <c r="AK18" s="87"/>
      <c r="AL18" s="87"/>
      <c r="AM18" s="87"/>
      <c r="AN18" s="87"/>
      <c r="AO18" s="87"/>
      <c r="AP18" s="87"/>
      <c r="AQ18" s="87"/>
      <c r="AR18" s="87"/>
      <c r="AS18" s="87"/>
      <c r="AT18" s="87"/>
    </row>
    <row r="19" spans="3:46" ht="20.100000000000001" customHeight="1" x14ac:dyDescent="0.25">
      <c r="C19" s="43" t="s">
        <v>61</v>
      </c>
      <c r="D19" s="97"/>
      <c r="E19" s="286"/>
      <c r="F19" s="287"/>
      <c r="G19" s="288"/>
      <c r="H19" s="104"/>
      <c r="I19" s="286"/>
      <c r="J19" s="287"/>
      <c r="K19" s="288"/>
      <c r="L19" s="104"/>
      <c r="M19" s="286"/>
      <c r="N19" s="287"/>
      <c r="O19" s="288"/>
      <c r="P19" s="104"/>
      <c r="Q19" s="48" t="s">
        <v>101</v>
      </c>
      <c r="R19" s="117"/>
      <c r="S19" s="72"/>
      <c r="U19" s="68">
        <f t="shared" si="0"/>
        <v>0</v>
      </c>
      <c r="W19" s="68">
        <f t="shared" si="1"/>
        <v>0</v>
      </c>
      <c r="Y19" s="87"/>
      <c r="Z19" s="87"/>
      <c r="AA19" s="87"/>
      <c r="AB19" s="87"/>
      <c r="AC19" s="87"/>
      <c r="AD19" s="87"/>
      <c r="AE19" s="87"/>
      <c r="AF19" s="87"/>
      <c r="AG19" s="87"/>
      <c r="AH19" s="104"/>
      <c r="AK19" s="87"/>
      <c r="AL19" s="87"/>
      <c r="AM19" s="87"/>
      <c r="AN19" s="87"/>
      <c r="AO19" s="87"/>
      <c r="AP19" s="87"/>
      <c r="AQ19" s="87"/>
      <c r="AR19" s="87"/>
      <c r="AS19" s="87"/>
      <c r="AT19" s="87"/>
    </row>
    <row r="20" spans="3:46" ht="20.100000000000001" customHeight="1" thickBot="1" x14ac:dyDescent="0.3">
      <c r="C20" s="43" t="s">
        <v>62</v>
      </c>
      <c r="D20" s="97"/>
      <c r="E20" s="286"/>
      <c r="F20" s="287"/>
      <c r="G20" s="288"/>
      <c r="H20" s="104"/>
      <c r="I20" s="286"/>
      <c r="J20" s="287"/>
      <c r="K20" s="288"/>
      <c r="L20" s="104"/>
      <c r="M20" s="286"/>
      <c r="N20" s="287"/>
      <c r="O20" s="288"/>
      <c r="P20" s="104"/>
      <c r="Q20" s="47" t="s">
        <v>102</v>
      </c>
      <c r="R20" s="117"/>
      <c r="S20" s="72"/>
      <c r="U20" s="74">
        <f t="shared" si="0"/>
        <v>0</v>
      </c>
      <c r="W20" s="68">
        <f t="shared" si="1"/>
        <v>0</v>
      </c>
      <c r="Y20" s="87"/>
      <c r="Z20" s="87"/>
      <c r="AA20" s="87"/>
      <c r="AB20" s="87"/>
      <c r="AC20" s="87"/>
      <c r="AD20" s="87"/>
      <c r="AE20" s="87"/>
      <c r="AF20" s="87"/>
      <c r="AG20" s="87"/>
      <c r="AH20" s="104"/>
      <c r="AK20" s="87"/>
      <c r="AL20" s="87"/>
      <c r="AM20" s="87"/>
      <c r="AN20" s="87"/>
      <c r="AO20" s="87"/>
      <c r="AP20" s="87"/>
      <c r="AQ20" s="87"/>
      <c r="AR20" s="87"/>
      <c r="AS20" s="87"/>
      <c r="AT20" s="87"/>
    </row>
    <row r="21" spans="3:46" ht="20.100000000000001" customHeight="1" thickBot="1" x14ac:dyDescent="0.3">
      <c r="C21" s="43" t="s">
        <v>63</v>
      </c>
      <c r="D21" s="97"/>
      <c r="E21" s="286"/>
      <c r="F21" s="287"/>
      <c r="G21" s="288"/>
      <c r="H21" s="104"/>
      <c r="I21" s="286"/>
      <c r="J21" s="287"/>
      <c r="K21" s="288"/>
      <c r="L21" s="104"/>
      <c r="M21" s="286"/>
      <c r="N21" s="287"/>
      <c r="O21" s="288"/>
      <c r="P21" s="104"/>
      <c r="Q21" s="49" t="s">
        <v>5</v>
      </c>
      <c r="R21" s="117"/>
      <c r="S21" s="73"/>
      <c r="U21" s="10"/>
      <c r="W21" s="74">
        <f>S21</f>
        <v>0</v>
      </c>
      <c r="Y21" s="87"/>
      <c r="Z21" s="87"/>
      <c r="AA21" s="87"/>
      <c r="AB21" s="87"/>
      <c r="AC21" s="87"/>
      <c r="AD21" s="87"/>
      <c r="AE21" s="87"/>
      <c r="AF21" s="87"/>
      <c r="AG21" s="87"/>
      <c r="AH21" s="104"/>
      <c r="AK21" s="87"/>
      <c r="AL21" s="87"/>
      <c r="AM21" s="87"/>
      <c r="AN21" s="87"/>
      <c r="AO21" s="87"/>
      <c r="AP21" s="87"/>
      <c r="AQ21" s="87"/>
      <c r="AR21" s="87"/>
      <c r="AS21" s="87"/>
      <c r="AT21" s="87"/>
    </row>
    <row r="22" spans="3:46" ht="20.100000000000001" customHeight="1" thickBot="1" x14ac:dyDescent="0.3">
      <c r="C22" s="43" t="s">
        <v>54</v>
      </c>
      <c r="D22" s="97"/>
      <c r="E22" s="286"/>
      <c r="F22" s="287"/>
      <c r="G22" s="288"/>
      <c r="H22" s="104"/>
      <c r="I22" s="286"/>
      <c r="J22" s="287"/>
      <c r="K22" s="288"/>
      <c r="L22" s="104"/>
      <c r="M22" s="286"/>
      <c r="N22" s="287"/>
      <c r="O22" s="288"/>
      <c r="P22" s="104"/>
      <c r="Q22" s="41" t="s">
        <v>30</v>
      </c>
      <c r="R22" s="117"/>
      <c r="S22" s="125"/>
      <c r="U22" s="87"/>
      <c r="W22" s="70">
        <f>SUM(W14:W20)-W21</f>
        <v>0</v>
      </c>
      <c r="Y22" s="87"/>
      <c r="Z22" s="87"/>
      <c r="AA22" s="87"/>
      <c r="AB22" s="87"/>
      <c r="AC22" s="87"/>
      <c r="AD22" s="87"/>
      <c r="AE22" s="87"/>
      <c r="AF22" s="87"/>
      <c r="AG22" s="87"/>
      <c r="AH22" s="104"/>
      <c r="AK22" s="87"/>
      <c r="AL22" s="87"/>
      <c r="AM22" s="87"/>
      <c r="AN22" s="87"/>
      <c r="AO22" s="87"/>
      <c r="AP22" s="87"/>
      <c r="AQ22" s="87"/>
      <c r="AR22" s="87"/>
      <c r="AS22" s="87"/>
      <c r="AT22" s="87"/>
    </row>
    <row r="23" spans="3:46" ht="20.100000000000001" customHeight="1" x14ac:dyDescent="0.25">
      <c r="C23" s="43" t="s">
        <v>55</v>
      </c>
      <c r="D23" s="97"/>
      <c r="E23" s="286"/>
      <c r="F23" s="287"/>
      <c r="G23" s="288"/>
      <c r="H23" s="104"/>
      <c r="I23" s="286"/>
      <c r="J23" s="287"/>
      <c r="K23" s="288"/>
      <c r="L23" s="104"/>
      <c r="M23" s="286"/>
      <c r="N23" s="287"/>
      <c r="O23" s="288"/>
      <c r="P23" s="104"/>
      <c r="Q23" s="18"/>
      <c r="R23" s="117"/>
      <c r="S23" s="14"/>
      <c r="U23" s="87"/>
      <c r="W23" s="209"/>
      <c r="Y23" s="87"/>
      <c r="Z23" s="87"/>
      <c r="AA23" s="87"/>
      <c r="AB23" s="87"/>
      <c r="AC23" s="87"/>
      <c r="AD23" s="87"/>
      <c r="AE23" s="87"/>
      <c r="AF23" s="87"/>
      <c r="AG23" s="87"/>
      <c r="AH23" s="104"/>
      <c r="AK23" s="87"/>
      <c r="AL23" s="87"/>
      <c r="AM23" s="87"/>
      <c r="AN23" s="87"/>
      <c r="AO23" s="87"/>
      <c r="AP23" s="87"/>
      <c r="AQ23" s="87"/>
      <c r="AR23" s="87"/>
      <c r="AS23" s="87"/>
      <c r="AT23" s="87"/>
    </row>
    <row r="24" spans="3:46" ht="20.100000000000001" customHeight="1" thickBot="1" x14ac:dyDescent="0.3">
      <c r="C24" s="43" t="s">
        <v>64</v>
      </c>
      <c r="D24" s="97"/>
      <c r="E24" s="286"/>
      <c r="F24" s="287"/>
      <c r="G24" s="288"/>
      <c r="H24" s="104"/>
      <c r="I24" s="286"/>
      <c r="J24" s="287"/>
      <c r="K24" s="288"/>
      <c r="L24" s="104"/>
      <c r="M24" s="286"/>
      <c r="N24" s="287"/>
      <c r="O24" s="288"/>
      <c r="P24" s="104"/>
      <c r="Q24" s="223"/>
      <c r="R24" s="117"/>
      <c r="S24" s="125"/>
      <c r="U24" s="87"/>
      <c r="W24" s="87"/>
      <c r="Y24" s="87"/>
      <c r="Z24" s="87"/>
      <c r="AA24" s="87"/>
      <c r="AB24" s="87"/>
      <c r="AC24" s="87"/>
      <c r="AD24" s="87"/>
      <c r="AE24" s="87"/>
      <c r="AF24" s="87"/>
      <c r="AG24" s="87"/>
      <c r="AH24" s="104"/>
      <c r="AK24" s="87"/>
      <c r="AL24" s="87"/>
      <c r="AM24" s="87"/>
      <c r="AN24" s="87"/>
      <c r="AO24" s="87"/>
      <c r="AP24" s="87"/>
      <c r="AQ24" s="87"/>
      <c r="AR24" s="87"/>
      <c r="AS24" s="87"/>
      <c r="AT24" s="87"/>
    </row>
    <row r="25" spans="3:46" ht="20.100000000000001" customHeight="1" thickBot="1" x14ac:dyDescent="0.3">
      <c r="C25" s="43" t="s">
        <v>65</v>
      </c>
      <c r="D25" s="97"/>
      <c r="E25" s="286"/>
      <c r="F25" s="287"/>
      <c r="G25" s="288"/>
      <c r="H25" s="104"/>
      <c r="I25" s="286"/>
      <c r="J25" s="287"/>
      <c r="K25" s="288"/>
      <c r="L25" s="104"/>
      <c r="M25" s="286"/>
      <c r="N25" s="287"/>
      <c r="O25" s="288"/>
      <c r="P25" s="104"/>
      <c r="Q25" s="158" t="s">
        <v>112</v>
      </c>
      <c r="R25" s="106"/>
      <c r="S25" s="161" t="s">
        <v>130</v>
      </c>
      <c r="T25" s="106"/>
      <c r="U25" s="87"/>
      <c r="W25" s="87"/>
      <c r="Y25" s="191" t="s">
        <v>67</v>
      </c>
      <c r="Z25" s="192"/>
      <c r="AA25" s="192"/>
      <c r="AB25" s="192"/>
      <c r="AC25" s="193"/>
      <c r="AE25" s="161" t="s">
        <v>130</v>
      </c>
      <c r="AG25" s="87"/>
      <c r="AH25" s="104"/>
      <c r="AK25" s="87"/>
      <c r="AL25" s="87"/>
      <c r="AM25" s="87"/>
      <c r="AN25" s="87"/>
      <c r="AO25" s="87"/>
      <c r="AP25" s="87"/>
      <c r="AQ25" s="87"/>
      <c r="AR25" s="87"/>
      <c r="AS25" s="87"/>
      <c r="AT25" s="87"/>
    </row>
    <row r="26" spans="3:46" ht="20.100000000000001" customHeight="1" thickBot="1" x14ac:dyDescent="0.3">
      <c r="C26" s="43" t="s">
        <v>66</v>
      </c>
      <c r="D26" s="97"/>
      <c r="E26" s="286"/>
      <c r="F26" s="287"/>
      <c r="G26" s="288"/>
      <c r="H26" s="104"/>
      <c r="I26" s="286"/>
      <c r="J26" s="287"/>
      <c r="K26" s="288"/>
      <c r="L26" s="104"/>
      <c r="M26" s="286"/>
      <c r="N26" s="287"/>
      <c r="O26" s="288"/>
      <c r="P26" s="104"/>
      <c r="Q26" s="3"/>
      <c r="R26" s="106"/>
      <c r="S26" s="13"/>
      <c r="T26" s="106"/>
      <c r="U26" s="87"/>
      <c r="W26" s="87"/>
      <c r="Y26" s="96"/>
      <c r="Z26" s="87"/>
      <c r="AA26" s="87"/>
      <c r="AB26" s="87"/>
      <c r="AC26" s="87"/>
      <c r="AD26" s="87"/>
      <c r="AE26" s="87"/>
      <c r="AF26" s="87"/>
      <c r="AG26" s="87"/>
      <c r="AH26" s="104"/>
      <c r="AK26" s="87"/>
      <c r="AL26" s="87"/>
      <c r="AM26" s="87"/>
      <c r="AN26" s="87"/>
      <c r="AO26" s="87"/>
      <c r="AP26" s="87"/>
      <c r="AQ26" s="87"/>
      <c r="AR26" s="87"/>
      <c r="AS26" s="87"/>
      <c r="AT26" s="87"/>
    </row>
    <row r="27" spans="3:46" ht="20.100000000000001" customHeight="1" x14ac:dyDescent="0.25">
      <c r="C27" s="43" t="s">
        <v>54</v>
      </c>
      <c r="D27" s="97"/>
      <c r="E27" s="286"/>
      <c r="F27" s="287"/>
      <c r="G27" s="288"/>
      <c r="H27" s="104"/>
      <c r="I27" s="286"/>
      <c r="J27" s="287"/>
      <c r="K27" s="288"/>
      <c r="L27" s="104"/>
      <c r="M27" s="286"/>
      <c r="N27" s="287"/>
      <c r="O27" s="288"/>
      <c r="P27" s="104"/>
      <c r="Q27" s="50" t="s">
        <v>68</v>
      </c>
      <c r="R27" s="106"/>
      <c r="S27" s="289"/>
      <c r="T27" s="270"/>
      <c r="U27" s="271"/>
      <c r="W27" s="87"/>
      <c r="Y27" s="281" t="s">
        <v>68</v>
      </c>
      <c r="Z27" s="270"/>
      <c r="AA27" s="270"/>
      <c r="AB27" s="270"/>
      <c r="AC27" s="271"/>
      <c r="AD27" s="87"/>
      <c r="AE27" s="269"/>
      <c r="AF27" s="270"/>
      <c r="AG27" s="271"/>
      <c r="AH27" s="104"/>
      <c r="AK27" s="87"/>
      <c r="AL27" s="87"/>
      <c r="AM27" s="87"/>
      <c r="AN27" s="87"/>
      <c r="AO27" s="87"/>
      <c r="AP27" s="87"/>
      <c r="AQ27" s="87"/>
      <c r="AR27" s="87"/>
      <c r="AS27" s="87"/>
      <c r="AT27" s="87"/>
    </row>
    <row r="28" spans="3:46" ht="20.100000000000001" customHeight="1" x14ac:dyDescent="0.25">
      <c r="C28" s="43" t="s">
        <v>55</v>
      </c>
      <c r="D28" s="97"/>
      <c r="E28" s="286"/>
      <c r="F28" s="287"/>
      <c r="G28" s="288"/>
      <c r="H28" s="104"/>
      <c r="I28" s="286"/>
      <c r="J28" s="287"/>
      <c r="K28" s="288"/>
      <c r="L28" s="104"/>
      <c r="M28" s="286"/>
      <c r="N28" s="287"/>
      <c r="O28" s="288"/>
      <c r="P28" s="104"/>
      <c r="Q28" s="51" t="s">
        <v>70</v>
      </c>
      <c r="R28" s="106"/>
      <c r="S28" s="267"/>
      <c r="T28" s="265"/>
      <c r="U28" s="266"/>
      <c r="W28" s="87"/>
      <c r="Y28" s="282" t="s">
        <v>70</v>
      </c>
      <c r="Z28" s="265"/>
      <c r="AA28" s="265"/>
      <c r="AB28" s="265"/>
      <c r="AC28" s="266"/>
      <c r="AD28" s="87"/>
      <c r="AE28" s="272"/>
      <c r="AF28" s="273"/>
      <c r="AG28" s="266"/>
      <c r="AH28" s="104"/>
      <c r="AK28" s="87"/>
      <c r="AL28" s="87"/>
      <c r="AM28" s="87"/>
      <c r="AN28" s="87"/>
      <c r="AO28" s="87"/>
      <c r="AP28" s="87"/>
      <c r="AQ28" s="87"/>
      <c r="AR28" s="87"/>
      <c r="AS28" s="87"/>
      <c r="AT28" s="87"/>
    </row>
    <row r="29" spans="3:46" ht="20.100000000000001" customHeight="1" x14ac:dyDescent="0.25">
      <c r="C29" s="43" t="s">
        <v>64</v>
      </c>
      <c r="D29" s="97"/>
      <c r="E29" s="286"/>
      <c r="F29" s="287"/>
      <c r="G29" s="288"/>
      <c r="H29" s="104"/>
      <c r="I29" s="286"/>
      <c r="J29" s="287"/>
      <c r="K29" s="288"/>
      <c r="L29" s="104"/>
      <c r="M29" s="286"/>
      <c r="N29" s="287"/>
      <c r="O29" s="288"/>
      <c r="P29" s="104"/>
      <c r="Q29" s="51" t="s">
        <v>71</v>
      </c>
      <c r="R29" s="150"/>
      <c r="S29" s="264"/>
      <c r="T29" s="265"/>
      <c r="U29" s="266"/>
      <c r="W29" s="87"/>
      <c r="Y29" s="282" t="s">
        <v>71</v>
      </c>
      <c r="Z29" s="265"/>
      <c r="AA29" s="265"/>
      <c r="AB29" s="265"/>
      <c r="AC29" s="266"/>
      <c r="AD29" s="87"/>
      <c r="AE29" s="272"/>
      <c r="AF29" s="273"/>
      <c r="AG29" s="266"/>
      <c r="AH29" s="104"/>
      <c r="AK29" s="87"/>
      <c r="AL29" s="87"/>
      <c r="AM29" s="87"/>
      <c r="AN29" s="87"/>
      <c r="AO29" s="87"/>
      <c r="AP29" s="87"/>
      <c r="AQ29" s="87"/>
      <c r="AR29" s="87"/>
      <c r="AS29" s="87"/>
      <c r="AT29" s="87"/>
    </row>
    <row r="30" spans="3:46" ht="20.100000000000001" customHeight="1" thickBot="1" x14ac:dyDescent="0.3">
      <c r="C30" s="44" t="s">
        <v>65</v>
      </c>
      <c r="D30" s="97"/>
      <c r="E30" s="278"/>
      <c r="F30" s="279"/>
      <c r="G30" s="280"/>
      <c r="H30" s="104"/>
      <c r="I30" s="278"/>
      <c r="J30" s="279"/>
      <c r="K30" s="280"/>
      <c r="L30" s="104"/>
      <c r="M30" s="278"/>
      <c r="N30" s="279"/>
      <c r="O30" s="280"/>
      <c r="P30" s="104"/>
      <c r="Q30" s="51" t="s">
        <v>72</v>
      </c>
      <c r="R30" s="106"/>
      <c r="S30" s="267"/>
      <c r="T30" s="265"/>
      <c r="U30" s="266"/>
      <c r="W30" s="87"/>
      <c r="Y30" s="282" t="s">
        <v>72</v>
      </c>
      <c r="Z30" s="265"/>
      <c r="AA30" s="265"/>
      <c r="AB30" s="265"/>
      <c r="AC30" s="266"/>
      <c r="AD30" s="87"/>
      <c r="AE30" s="272"/>
      <c r="AF30" s="273"/>
      <c r="AG30" s="266"/>
      <c r="AH30" s="104"/>
      <c r="AK30" s="87"/>
      <c r="AL30" s="87"/>
      <c r="AM30" s="87"/>
      <c r="AN30" s="87"/>
      <c r="AO30" s="87"/>
      <c r="AP30" s="87"/>
      <c r="AQ30" s="87"/>
      <c r="AR30" s="87"/>
      <c r="AS30" s="87"/>
      <c r="AT30" s="87"/>
    </row>
    <row r="31" spans="3:46" ht="20.100000000000001" customHeight="1" x14ac:dyDescent="0.25">
      <c r="C31" s="138"/>
      <c r="D31" s="97"/>
      <c r="E31" s="139"/>
      <c r="F31" s="104"/>
      <c r="G31" s="140"/>
      <c r="H31" s="104"/>
      <c r="I31" s="104"/>
      <c r="J31" s="104"/>
      <c r="K31" s="104"/>
      <c r="L31" s="104"/>
      <c r="M31" s="104"/>
      <c r="N31" s="104"/>
      <c r="O31" s="104"/>
      <c r="P31" s="104"/>
      <c r="Q31" s="51" t="s">
        <v>73</v>
      </c>
      <c r="R31" s="106"/>
      <c r="S31" s="267"/>
      <c r="T31" s="265"/>
      <c r="U31" s="266"/>
      <c r="W31" s="87"/>
      <c r="Y31" s="282" t="s">
        <v>73</v>
      </c>
      <c r="Z31" s="265"/>
      <c r="AA31" s="265"/>
      <c r="AB31" s="265"/>
      <c r="AC31" s="266"/>
      <c r="AD31" s="87"/>
      <c r="AE31" s="272"/>
      <c r="AF31" s="273"/>
      <c r="AG31" s="266"/>
      <c r="AH31" s="104"/>
      <c r="AK31" s="87"/>
      <c r="AL31" s="87"/>
      <c r="AM31" s="87"/>
      <c r="AN31" s="87"/>
      <c r="AO31" s="87"/>
      <c r="AP31" s="87"/>
      <c r="AQ31" s="87"/>
      <c r="AR31" s="87"/>
      <c r="AS31" s="87"/>
      <c r="AT31" s="87"/>
    </row>
    <row r="32" spans="3:46" ht="20.100000000000001" customHeight="1" thickBot="1" x14ac:dyDescent="0.3">
      <c r="C32" s="87"/>
      <c r="E32" s="87"/>
      <c r="F32" s="87"/>
      <c r="G32" s="87"/>
      <c r="I32" s="87"/>
      <c r="J32" s="87"/>
      <c r="K32" s="87"/>
      <c r="M32" s="87"/>
      <c r="N32" s="87"/>
      <c r="O32" s="87"/>
      <c r="P32" s="104"/>
      <c r="Q32" s="51" t="s">
        <v>113</v>
      </c>
      <c r="R32" s="106"/>
      <c r="S32" s="268"/>
      <c r="T32" s="262"/>
      <c r="U32" s="263"/>
      <c r="W32" s="87"/>
      <c r="Y32" s="282" t="s">
        <v>113</v>
      </c>
      <c r="Z32" s="265"/>
      <c r="AA32" s="265"/>
      <c r="AB32" s="265"/>
      <c r="AC32" s="266"/>
      <c r="AD32" s="87"/>
      <c r="AE32" s="274"/>
      <c r="AF32" s="262"/>
      <c r="AG32" s="263"/>
      <c r="AH32" s="104"/>
      <c r="AK32" s="87"/>
      <c r="AL32" s="87"/>
      <c r="AM32" s="87"/>
      <c r="AN32" s="87"/>
      <c r="AO32" s="87"/>
      <c r="AP32" s="87"/>
      <c r="AQ32" s="87"/>
      <c r="AR32" s="87"/>
      <c r="AS32" s="87"/>
      <c r="AT32" s="87"/>
    </row>
    <row r="33" spans="1:46" ht="20.100000000000001" customHeight="1" thickBot="1" x14ac:dyDescent="0.3">
      <c r="C33" s="87"/>
      <c r="E33" s="87"/>
      <c r="F33" s="87"/>
      <c r="G33" s="87"/>
      <c r="I33" s="87"/>
      <c r="J33" s="87"/>
      <c r="K33" s="87"/>
      <c r="M33" s="87"/>
      <c r="N33" s="87"/>
      <c r="O33" s="87"/>
      <c r="P33" s="104"/>
      <c r="Q33" s="52" t="s">
        <v>69</v>
      </c>
      <c r="R33" s="106"/>
      <c r="S33" s="283">
        <f>S4+AC4+W14+W15+W16+W17</f>
        <v>0</v>
      </c>
      <c r="T33" s="284"/>
      <c r="U33" s="285"/>
      <c r="W33" s="87"/>
      <c r="Y33" s="261" t="s">
        <v>69</v>
      </c>
      <c r="Z33" s="262"/>
      <c r="AA33" s="262"/>
      <c r="AB33" s="262"/>
      <c r="AC33" s="263"/>
      <c r="AD33" s="87"/>
      <c r="AE33" s="258"/>
      <c r="AF33" s="259"/>
      <c r="AG33" s="260"/>
      <c r="AH33" s="104"/>
      <c r="AK33" s="87"/>
      <c r="AL33" s="87"/>
      <c r="AM33" s="87"/>
      <c r="AN33" s="87"/>
      <c r="AO33" s="87"/>
      <c r="AP33" s="87"/>
      <c r="AQ33" s="87"/>
      <c r="AR33" s="87"/>
      <c r="AS33" s="87"/>
      <c r="AT33" s="87"/>
    </row>
    <row r="34" spans="1:46" ht="20.100000000000001" customHeight="1" x14ac:dyDescent="0.25">
      <c r="C34" s="87"/>
      <c r="E34" s="87"/>
      <c r="F34" s="87"/>
      <c r="G34" s="87"/>
      <c r="I34" s="87"/>
      <c r="J34" s="87"/>
      <c r="K34" s="87"/>
      <c r="M34" s="87"/>
      <c r="N34" s="87"/>
      <c r="O34" s="87"/>
      <c r="P34" s="104"/>
      <c r="Q34" s="96"/>
      <c r="R34" s="106"/>
      <c r="S34" s="210"/>
      <c r="T34" s="208"/>
      <c r="U34" s="208"/>
      <c r="W34" s="87"/>
      <c r="Y34" s="96"/>
      <c r="Z34" s="208"/>
      <c r="AA34" s="208"/>
      <c r="AB34" s="208"/>
      <c r="AC34" s="208"/>
      <c r="AD34" s="87"/>
      <c r="AE34" s="211"/>
      <c r="AF34" s="212"/>
      <c r="AG34" s="212"/>
      <c r="AH34" s="104"/>
      <c r="AK34" s="87"/>
      <c r="AL34" s="87"/>
      <c r="AM34" s="87"/>
      <c r="AN34" s="87"/>
      <c r="AO34" s="87"/>
      <c r="AP34" s="87"/>
      <c r="AQ34" s="87"/>
      <c r="AR34" s="87"/>
      <c r="AS34" s="87"/>
      <c r="AT34" s="87"/>
    </row>
    <row r="35" spans="1:46" ht="20.100000000000001" customHeight="1" thickBot="1" x14ac:dyDescent="0.3">
      <c r="E35" s="87"/>
      <c r="F35" s="87"/>
      <c r="G35" s="87"/>
      <c r="I35" s="87"/>
      <c r="J35" s="87"/>
      <c r="K35" s="87"/>
      <c r="M35" s="87"/>
      <c r="N35" s="87"/>
      <c r="O35" s="87"/>
      <c r="P35" s="104"/>
      <c r="Q35" s="96"/>
      <c r="R35" s="106"/>
      <c r="S35" s="210"/>
      <c r="T35" s="208"/>
      <c r="U35" s="208"/>
      <c r="W35" s="87"/>
      <c r="Y35" s="96"/>
      <c r="Z35" s="208"/>
      <c r="AA35" s="208"/>
      <c r="AB35" s="208"/>
      <c r="AC35" s="208"/>
      <c r="AD35" s="87"/>
      <c r="AE35" s="211"/>
      <c r="AF35" s="212"/>
      <c r="AG35" s="212"/>
      <c r="AH35" s="104"/>
      <c r="AK35" s="87"/>
      <c r="AL35" s="87"/>
      <c r="AM35" s="87"/>
      <c r="AN35" s="87"/>
      <c r="AO35" s="87"/>
      <c r="AP35" s="87"/>
      <c r="AQ35" s="87"/>
      <c r="AR35" s="87"/>
      <c r="AS35" s="87"/>
      <c r="AT35" s="87"/>
    </row>
    <row r="36" spans="1:46" ht="20.100000000000001" customHeight="1" thickBot="1" x14ac:dyDescent="0.3">
      <c r="C36" s="54" t="s">
        <v>109</v>
      </c>
      <c r="E36" s="87"/>
      <c r="F36" s="87"/>
      <c r="G36" s="87"/>
      <c r="I36" s="87"/>
      <c r="J36" s="87"/>
      <c r="K36" s="87"/>
      <c r="M36" s="87"/>
      <c r="N36" s="87"/>
      <c r="O36" s="87"/>
      <c r="P36" s="104"/>
      <c r="Q36" s="55" t="s">
        <v>18</v>
      </c>
      <c r="S36" s="251" t="s">
        <v>17</v>
      </c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2"/>
      <c r="AF36" s="252"/>
      <c r="AG36" s="253"/>
      <c r="AH36" s="104"/>
      <c r="AK36" s="87"/>
      <c r="AL36" s="87"/>
      <c r="AM36" s="87"/>
      <c r="AN36" s="87"/>
      <c r="AO36" s="87"/>
      <c r="AP36" s="87"/>
      <c r="AQ36" s="87"/>
      <c r="AR36" s="87"/>
      <c r="AS36" s="87"/>
      <c r="AT36" s="87"/>
    </row>
    <row r="37" spans="1:46" ht="20.100000000000001" customHeight="1" thickBot="1" x14ac:dyDescent="0.3">
      <c r="E37" s="87"/>
      <c r="F37" s="87"/>
      <c r="G37" s="87"/>
      <c r="I37" s="87"/>
      <c r="J37" s="87"/>
      <c r="K37" s="87"/>
      <c r="M37" s="87"/>
      <c r="N37" s="87"/>
      <c r="O37" s="87"/>
      <c r="P37" s="104"/>
      <c r="Q37" s="5"/>
      <c r="S37" s="10"/>
      <c r="T37" s="121"/>
      <c r="U37" s="25"/>
      <c r="V37" s="121"/>
      <c r="W37" s="10"/>
      <c r="X37" s="121"/>
      <c r="Y37" s="25"/>
      <c r="Z37" s="121"/>
      <c r="AA37" s="121"/>
      <c r="AB37" s="148"/>
      <c r="AC37" s="91"/>
      <c r="AD37" s="91"/>
      <c r="AE37" s="91"/>
      <c r="AF37" s="91"/>
      <c r="AG37" s="91"/>
      <c r="AH37" s="104"/>
      <c r="AK37" s="87"/>
      <c r="AL37" s="87"/>
      <c r="AM37" s="87"/>
      <c r="AN37" s="87"/>
      <c r="AO37" s="87"/>
      <c r="AP37" s="87"/>
      <c r="AQ37" s="87"/>
      <c r="AR37" s="87"/>
      <c r="AS37" s="87"/>
      <c r="AT37" s="87"/>
    </row>
    <row r="38" spans="1:46" ht="20.100000000000001" customHeight="1" thickBot="1" x14ac:dyDescent="0.3">
      <c r="C38" s="158" t="s">
        <v>108</v>
      </c>
      <c r="D38" s="97"/>
      <c r="E38" s="159" t="s">
        <v>74</v>
      </c>
      <c r="F38" s="97"/>
      <c r="G38" s="160" t="s">
        <v>75</v>
      </c>
      <c r="H38" s="104"/>
      <c r="I38" s="161" t="s">
        <v>76</v>
      </c>
      <c r="J38" s="1"/>
      <c r="K38" s="162" t="s">
        <v>110</v>
      </c>
      <c r="L38" s="104"/>
      <c r="M38" s="162" t="s">
        <v>106</v>
      </c>
      <c r="N38" s="1"/>
      <c r="O38" s="162" t="s">
        <v>107</v>
      </c>
      <c r="P38" s="104"/>
      <c r="Q38" s="163" t="s">
        <v>124</v>
      </c>
      <c r="R38" s="118"/>
      <c r="S38" s="162" t="s">
        <v>43</v>
      </c>
      <c r="T38" s="105"/>
      <c r="U38" s="162" t="s">
        <v>45</v>
      </c>
      <c r="V38" s="105"/>
      <c r="W38" s="162" t="s">
        <v>11</v>
      </c>
      <c r="X38" s="110"/>
      <c r="Y38" s="162" t="s">
        <v>11</v>
      </c>
      <c r="Z38" s="141"/>
      <c r="AA38" s="162" t="s">
        <v>12</v>
      </c>
      <c r="AC38" s="159" t="s">
        <v>12</v>
      </c>
      <c r="AD38" s="11"/>
      <c r="AE38" s="159" t="s">
        <v>12</v>
      </c>
      <c r="AF38" s="11"/>
      <c r="AG38" s="159" t="s">
        <v>12</v>
      </c>
      <c r="AH38" s="104"/>
      <c r="AK38" s="87"/>
      <c r="AL38" s="87"/>
      <c r="AM38" s="87"/>
      <c r="AN38" s="87"/>
      <c r="AO38" s="87"/>
      <c r="AP38" s="87"/>
      <c r="AQ38" s="87"/>
      <c r="AR38" s="87"/>
      <c r="AS38" s="87"/>
      <c r="AT38" s="87"/>
    </row>
    <row r="39" spans="1:46" ht="20.100000000000001" customHeight="1" thickBot="1" x14ac:dyDescent="0.3">
      <c r="C39" s="6"/>
      <c r="D39" s="97"/>
      <c r="E39" s="7"/>
      <c r="F39" s="104"/>
      <c r="G39" s="2"/>
      <c r="H39" s="104"/>
      <c r="I39" s="1"/>
      <c r="J39" s="104"/>
      <c r="K39" s="1"/>
      <c r="L39" s="104"/>
      <c r="M39" s="104"/>
      <c r="N39" s="104"/>
      <c r="O39" s="104"/>
      <c r="P39" s="104"/>
      <c r="Q39" s="18"/>
      <c r="R39" s="118"/>
      <c r="S39" s="12"/>
      <c r="T39" s="105"/>
      <c r="U39" s="12"/>
      <c r="V39" s="105"/>
      <c r="W39" s="12"/>
      <c r="X39" s="110"/>
      <c r="Y39" s="12"/>
      <c r="Z39" s="141"/>
      <c r="AA39" s="105"/>
      <c r="AB39" s="87"/>
      <c r="AC39" s="88"/>
      <c r="AD39" s="88"/>
      <c r="AE39" s="88"/>
      <c r="AF39" s="88"/>
      <c r="AG39" s="88"/>
      <c r="AH39" s="104"/>
      <c r="AK39" s="87"/>
      <c r="AL39" s="87"/>
      <c r="AM39" s="87"/>
      <c r="AN39" s="87"/>
      <c r="AO39" s="87"/>
      <c r="AP39" s="87"/>
      <c r="AQ39" s="87"/>
      <c r="AR39" s="87"/>
      <c r="AS39" s="87"/>
      <c r="AT39" s="87"/>
    </row>
    <row r="40" spans="1:46" ht="20.100000000000001" customHeight="1" x14ac:dyDescent="0.25">
      <c r="C40" s="57"/>
      <c r="D40" s="97"/>
      <c r="E40" s="77"/>
      <c r="F40" s="104"/>
      <c r="G40" s="38"/>
      <c r="H40" s="104"/>
      <c r="I40" s="28"/>
      <c r="J40" s="104"/>
      <c r="K40" s="30"/>
      <c r="L40" s="104"/>
      <c r="M40" s="80"/>
      <c r="N40" s="1"/>
      <c r="O40" s="77"/>
      <c r="P40" s="107"/>
      <c r="Q40" s="60" t="s">
        <v>3</v>
      </c>
      <c r="R40" s="118"/>
      <c r="S40" s="296">
        <v>0.125</v>
      </c>
      <c r="T40" s="124"/>
      <c r="U40" s="296">
        <v>0.125</v>
      </c>
      <c r="V40" s="124"/>
      <c r="W40" s="296">
        <v>0.125</v>
      </c>
      <c r="X40" s="122"/>
      <c r="Y40" s="296">
        <v>0.06</v>
      </c>
      <c r="Z40" s="124"/>
      <c r="AA40" s="296">
        <v>0.1</v>
      </c>
      <c r="AB40" s="11"/>
      <c r="AC40" s="296" t="s">
        <v>10</v>
      </c>
      <c r="AD40" s="11"/>
      <c r="AE40" s="296">
        <v>0.1</v>
      </c>
      <c r="AF40" s="11"/>
      <c r="AG40" s="296" t="s">
        <v>10</v>
      </c>
      <c r="AH40" s="104"/>
      <c r="AK40" s="87"/>
      <c r="AL40" s="87"/>
      <c r="AM40" s="87"/>
      <c r="AN40" s="87"/>
      <c r="AO40" s="87"/>
      <c r="AP40" s="87"/>
      <c r="AQ40" s="87"/>
      <c r="AR40" s="87"/>
      <c r="AS40" s="87"/>
      <c r="AT40" s="87"/>
    </row>
    <row r="41" spans="1:46" ht="20.100000000000001" customHeight="1" x14ac:dyDescent="0.25">
      <c r="C41" s="58"/>
      <c r="D41" s="97"/>
      <c r="E41" s="78"/>
      <c r="F41" s="104"/>
      <c r="G41" s="39"/>
      <c r="H41" s="104"/>
      <c r="I41" s="75"/>
      <c r="J41" s="104"/>
      <c r="K41" s="29"/>
      <c r="L41" s="104"/>
      <c r="M41" s="81"/>
      <c r="N41" s="1"/>
      <c r="O41" s="78"/>
      <c r="P41" s="96"/>
      <c r="Q41" s="61" t="s">
        <v>13</v>
      </c>
      <c r="R41" s="118"/>
      <c r="S41" s="297">
        <v>60000</v>
      </c>
      <c r="T41" s="124"/>
      <c r="U41" s="297" t="s">
        <v>7</v>
      </c>
      <c r="V41" s="124"/>
      <c r="W41" s="297" t="s">
        <v>7</v>
      </c>
      <c r="X41" s="122"/>
      <c r="Y41" s="297" t="s">
        <v>7</v>
      </c>
      <c r="Z41" s="124"/>
      <c r="AA41" s="297">
        <v>15000</v>
      </c>
      <c r="AB41" s="11"/>
      <c r="AC41" s="297">
        <v>15000</v>
      </c>
      <c r="AD41" s="11"/>
      <c r="AE41" s="297" t="s">
        <v>7</v>
      </c>
      <c r="AF41" s="11"/>
      <c r="AG41" s="297" t="s">
        <v>7</v>
      </c>
      <c r="AH41" s="104"/>
      <c r="AK41" s="87"/>
      <c r="AL41" s="87"/>
      <c r="AM41" s="87"/>
      <c r="AN41" s="87"/>
      <c r="AO41" s="87"/>
      <c r="AP41" s="87"/>
      <c r="AQ41" s="87"/>
      <c r="AR41" s="87"/>
      <c r="AS41" s="87"/>
      <c r="AT41" s="87"/>
    </row>
    <row r="42" spans="1:46" ht="20.100000000000001" customHeight="1" x14ac:dyDescent="0.25">
      <c r="C42" s="58"/>
      <c r="D42" s="97"/>
      <c r="E42" s="78"/>
      <c r="F42" s="104"/>
      <c r="G42" s="39"/>
      <c r="H42" s="104"/>
      <c r="I42" s="75"/>
      <c r="J42" s="104"/>
      <c r="K42" s="29"/>
      <c r="L42" s="104"/>
      <c r="M42" s="81"/>
      <c r="N42" s="1"/>
      <c r="O42" s="78"/>
      <c r="P42" s="96"/>
      <c r="Q42" s="61" t="s">
        <v>16</v>
      </c>
      <c r="R42" s="118"/>
      <c r="S42" s="298">
        <f>IF(S4&gt;=60000,(S9-60000)*12.5%,0)</f>
        <v>0</v>
      </c>
      <c r="T42" s="125"/>
      <c r="U42" s="298">
        <f>SUM(S4+AC9)*12.5%</f>
        <v>48.887500000000003</v>
      </c>
      <c r="V42" s="125"/>
      <c r="W42" s="298">
        <f>SUM(S4+AC9)*12.5%</f>
        <v>48.887500000000003</v>
      </c>
      <c r="X42" s="122"/>
      <c r="Y42" s="298">
        <f>SUM(S9+AC9)*6%</f>
        <v>23.466000000000001</v>
      </c>
      <c r="Z42" s="125"/>
      <c r="AA42" s="298">
        <f>IF(S9&gt;=15000,(S9-15000)*10%,0)</f>
        <v>0</v>
      </c>
      <c r="AB42" s="11"/>
      <c r="AC42" s="298">
        <f>IF(S9&gt;15000,(S9-15000)*5%,0)</f>
        <v>0</v>
      </c>
      <c r="AD42" s="11"/>
      <c r="AE42" s="298">
        <f>SUM(S4+AC9)*10%</f>
        <v>39.110000000000007</v>
      </c>
      <c r="AF42" s="11"/>
      <c r="AG42" s="298">
        <f>SUM(S4+AC9)*5%</f>
        <v>19.555000000000003</v>
      </c>
      <c r="AH42" s="104"/>
      <c r="AK42" s="87"/>
      <c r="AL42" s="87"/>
      <c r="AM42" s="87"/>
      <c r="AN42" s="87"/>
      <c r="AO42" s="87"/>
      <c r="AP42" s="87"/>
      <c r="AQ42" s="87"/>
      <c r="AR42" s="87"/>
      <c r="AS42" s="87"/>
      <c r="AT42" s="87"/>
    </row>
    <row r="43" spans="1:46" ht="20.100000000000001" customHeight="1" x14ac:dyDescent="0.25">
      <c r="C43" s="58"/>
      <c r="D43" s="97"/>
      <c r="E43" s="78"/>
      <c r="F43" s="104"/>
      <c r="G43" s="39"/>
      <c r="H43" s="104"/>
      <c r="I43" s="75"/>
      <c r="J43" s="104"/>
      <c r="K43" s="29"/>
      <c r="L43" s="104"/>
      <c r="M43" s="81"/>
      <c r="N43" s="1"/>
      <c r="O43" s="78"/>
      <c r="P43" s="108"/>
      <c r="Q43" s="61" t="s">
        <v>4</v>
      </c>
      <c r="R43" s="118"/>
      <c r="S43" s="299">
        <f>SUM(AA83:AA89)</f>
        <v>6.6878099999999989</v>
      </c>
      <c r="T43" s="126"/>
      <c r="U43" s="299">
        <f>S43</f>
        <v>6.6878099999999989</v>
      </c>
      <c r="V43" s="126"/>
      <c r="W43" s="299">
        <f>S43</f>
        <v>6.6878099999999989</v>
      </c>
      <c r="X43" s="122"/>
      <c r="Y43" s="299">
        <f>S43</f>
        <v>6.6878099999999989</v>
      </c>
      <c r="Z43" s="126"/>
      <c r="AA43" s="299">
        <f>S43</f>
        <v>6.6878099999999989</v>
      </c>
      <c r="AB43" s="11"/>
      <c r="AC43" s="299">
        <f>S43</f>
        <v>6.6878099999999989</v>
      </c>
      <c r="AD43" s="11"/>
      <c r="AE43" s="299">
        <f>S43</f>
        <v>6.6878099999999989</v>
      </c>
      <c r="AF43" s="11"/>
      <c r="AG43" s="299">
        <f>S43</f>
        <v>6.6878099999999989</v>
      </c>
      <c r="AH43" s="104"/>
      <c r="AK43" s="87"/>
      <c r="AL43" s="87"/>
      <c r="AM43" s="87"/>
      <c r="AN43" s="87"/>
      <c r="AO43" s="87"/>
      <c r="AP43" s="87"/>
      <c r="AQ43" s="87"/>
      <c r="AR43" s="87"/>
      <c r="AS43" s="87"/>
      <c r="AT43" s="87"/>
    </row>
    <row r="44" spans="1:46" ht="20.100000000000001" customHeight="1" thickBot="1" x14ac:dyDescent="0.3">
      <c r="A44" s="27"/>
      <c r="B44" s="89"/>
      <c r="C44" s="58"/>
      <c r="D44" s="97"/>
      <c r="E44" s="78"/>
      <c r="F44" s="104"/>
      <c r="G44" s="39"/>
      <c r="H44" s="104"/>
      <c r="I44" s="75"/>
      <c r="J44" s="104"/>
      <c r="K44" s="29"/>
      <c r="L44" s="104"/>
      <c r="M44" s="81"/>
      <c r="N44" s="1"/>
      <c r="O44" s="78"/>
      <c r="P44" s="108"/>
      <c r="Q44" s="61" t="s">
        <v>32</v>
      </c>
      <c r="R44" s="118"/>
      <c r="S44" s="300">
        <v>900</v>
      </c>
      <c r="T44" s="126"/>
      <c r="U44" s="300">
        <f>S44</f>
        <v>900</v>
      </c>
      <c r="V44" s="126"/>
      <c r="W44" s="300">
        <f>S44</f>
        <v>900</v>
      </c>
      <c r="X44" s="122"/>
      <c r="Y44" s="300">
        <f>S44</f>
        <v>900</v>
      </c>
      <c r="Z44" s="126"/>
      <c r="AA44" s="300">
        <f>S44</f>
        <v>900</v>
      </c>
      <c r="AB44" s="11"/>
      <c r="AC44" s="300">
        <f>S44</f>
        <v>900</v>
      </c>
      <c r="AD44" s="11"/>
      <c r="AE44" s="300">
        <f>S44</f>
        <v>900</v>
      </c>
      <c r="AF44" s="11"/>
      <c r="AG44" s="300">
        <f>S44</f>
        <v>900</v>
      </c>
      <c r="AH44" s="104"/>
      <c r="AK44" s="87"/>
      <c r="AL44" s="87"/>
      <c r="AM44" s="87"/>
      <c r="AN44" s="87"/>
      <c r="AO44" s="87"/>
      <c r="AP44" s="87"/>
      <c r="AQ44" s="87"/>
      <c r="AR44" s="87"/>
      <c r="AS44" s="87"/>
      <c r="AT44" s="87"/>
    </row>
    <row r="45" spans="1:46" ht="20.100000000000001" customHeight="1" thickBot="1" x14ac:dyDescent="0.3">
      <c r="C45" s="58"/>
      <c r="D45" s="97"/>
      <c r="E45" s="78"/>
      <c r="F45" s="104"/>
      <c r="G45" s="39"/>
      <c r="H45" s="104"/>
      <c r="I45" s="75"/>
      <c r="J45" s="104"/>
      <c r="K45" s="29"/>
      <c r="L45" s="104"/>
      <c r="M45" s="81"/>
      <c r="N45" s="1"/>
      <c r="O45" s="78"/>
      <c r="P45" s="109"/>
      <c r="Q45" s="62" t="s">
        <v>34</v>
      </c>
      <c r="R45" s="118"/>
      <c r="S45" s="301">
        <f>S42+S43+S44</f>
        <v>906.68781000000001</v>
      </c>
      <c r="T45" s="126"/>
      <c r="U45" s="301">
        <f>SUM(U42:U44)</f>
        <v>955.57530999999994</v>
      </c>
      <c r="V45" s="126"/>
      <c r="W45" s="301">
        <f>SUM(W42:W44)</f>
        <v>955.57530999999994</v>
      </c>
      <c r="X45" s="122"/>
      <c r="Y45" s="301">
        <f>SUM(Y42:Y44)</f>
        <v>930.15381000000002</v>
      </c>
      <c r="Z45" s="126"/>
      <c r="AA45" s="301">
        <f>SUM(AA42:AA44)</f>
        <v>906.68781000000001</v>
      </c>
      <c r="AB45" s="11"/>
      <c r="AC45" s="301">
        <f>SUM(AC42:AC44)</f>
        <v>906.68781000000001</v>
      </c>
      <c r="AD45" s="11"/>
      <c r="AE45" s="301">
        <f>SUM(AE42:AE44)</f>
        <v>945.79781000000003</v>
      </c>
      <c r="AF45" s="11"/>
      <c r="AG45" s="301">
        <f>SUM(AG42:AG44)</f>
        <v>926.24280999999996</v>
      </c>
      <c r="AK45" s="87"/>
      <c r="AL45" s="87"/>
      <c r="AM45" s="87"/>
      <c r="AN45" s="87"/>
      <c r="AO45" s="87"/>
      <c r="AP45" s="87"/>
      <c r="AQ45" s="87"/>
      <c r="AR45" s="87"/>
      <c r="AS45" s="87"/>
      <c r="AT45" s="87"/>
    </row>
    <row r="46" spans="1:46" ht="20.100000000000001" customHeight="1" thickBot="1" x14ac:dyDescent="0.3">
      <c r="C46" s="59"/>
      <c r="D46" s="97"/>
      <c r="E46" s="79"/>
      <c r="F46" s="104"/>
      <c r="G46" s="40"/>
      <c r="H46" s="104"/>
      <c r="I46" s="76"/>
      <c r="J46" s="104"/>
      <c r="K46" s="31"/>
      <c r="L46" s="104"/>
      <c r="M46" s="82"/>
      <c r="N46" s="1"/>
      <c r="O46" s="79"/>
      <c r="P46" s="108"/>
      <c r="Q46" s="188"/>
      <c r="R46" s="118"/>
      <c r="S46" s="126"/>
      <c r="T46" s="126"/>
      <c r="U46" s="126"/>
      <c r="V46" s="126"/>
      <c r="W46" s="126"/>
      <c r="X46" s="122"/>
      <c r="Y46" s="126"/>
      <c r="Z46" s="126"/>
      <c r="AA46" s="126"/>
      <c r="AB46" s="88"/>
      <c r="AC46" s="126"/>
      <c r="AD46" s="88"/>
      <c r="AE46" s="126"/>
      <c r="AF46" s="88"/>
      <c r="AG46" s="126"/>
      <c r="AK46" s="87"/>
      <c r="AL46" s="87"/>
      <c r="AM46" s="87"/>
      <c r="AN46" s="87"/>
      <c r="AO46" s="87"/>
      <c r="AP46" s="87"/>
      <c r="AQ46" s="87"/>
      <c r="AR46" s="87"/>
      <c r="AS46" s="87"/>
      <c r="AT46" s="87"/>
    </row>
    <row r="47" spans="1:46" ht="20.100000000000001" customHeight="1" thickBot="1" x14ac:dyDescent="0.3">
      <c r="C47" s="138"/>
      <c r="D47" s="97"/>
      <c r="E47" s="84">
        <f>SUM(E40:E46)</f>
        <v>0</v>
      </c>
      <c r="F47" s="104"/>
      <c r="G47" s="140"/>
      <c r="H47" s="104"/>
      <c r="I47" s="104"/>
      <c r="J47" s="104"/>
      <c r="K47" s="83">
        <f>SUM(K40:K46)</f>
        <v>0</v>
      </c>
      <c r="L47" s="104"/>
      <c r="M47" s="104"/>
      <c r="N47" s="104"/>
      <c r="O47" s="83">
        <f>SUM(O40:O46)</f>
        <v>0</v>
      </c>
      <c r="P47" s="108"/>
      <c r="Q47" s="188"/>
      <c r="R47" s="118"/>
      <c r="S47" s="126"/>
      <c r="T47" s="126"/>
      <c r="U47" s="126"/>
      <c r="V47" s="126"/>
      <c r="W47" s="126"/>
      <c r="X47" s="122"/>
      <c r="Y47" s="126"/>
      <c r="Z47" s="126"/>
      <c r="AA47" s="126"/>
      <c r="AB47" s="88"/>
      <c r="AC47" s="126"/>
      <c r="AD47" s="88"/>
      <c r="AE47" s="126"/>
      <c r="AF47" s="88"/>
      <c r="AG47" s="126"/>
      <c r="AH47" s="104"/>
      <c r="AK47" s="87"/>
      <c r="AL47" s="87"/>
      <c r="AM47" s="87"/>
      <c r="AN47" s="87"/>
      <c r="AO47" s="87"/>
      <c r="AP47" s="87"/>
      <c r="AQ47" s="87"/>
      <c r="AR47" s="87"/>
      <c r="AS47" s="87"/>
      <c r="AT47" s="87"/>
    </row>
    <row r="48" spans="1:46" ht="20.100000000000001" customHeight="1" thickBot="1" x14ac:dyDescent="0.3">
      <c r="C48" s="138"/>
      <c r="D48" s="97"/>
      <c r="E48" s="139"/>
      <c r="F48" s="104"/>
      <c r="G48" s="140"/>
      <c r="H48" s="104"/>
      <c r="I48" s="104"/>
      <c r="J48" s="104"/>
      <c r="K48" s="87"/>
      <c r="L48" s="104"/>
      <c r="M48" s="104"/>
      <c r="N48" s="104"/>
      <c r="O48" s="87"/>
      <c r="P48" s="108"/>
      <c r="Q48" s="188"/>
      <c r="R48" s="118"/>
      <c r="S48" s="126"/>
      <c r="T48" s="126"/>
      <c r="U48" s="126"/>
      <c r="V48" s="126"/>
      <c r="W48" s="126"/>
      <c r="X48" s="122"/>
      <c r="Y48" s="126"/>
      <c r="Z48" s="126"/>
      <c r="AA48" s="126"/>
      <c r="AB48" s="88"/>
      <c r="AC48" s="126"/>
      <c r="AD48" s="88"/>
      <c r="AE48" s="126"/>
      <c r="AF48" s="88"/>
      <c r="AG48" s="126"/>
      <c r="AH48" s="127"/>
      <c r="AK48" s="87"/>
      <c r="AL48" s="87"/>
      <c r="AM48" s="87"/>
      <c r="AN48" s="87"/>
      <c r="AO48" s="87"/>
      <c r="AP48" s="87"/>
      <c r="AQ48" s="87"/>
      <c r="AR48" s="87"/>
      <c r="AS48" s="87"/>
      <c r="AT48" s="87"/>
    </row>
    <row r="49" spans="2:46" ht="20.100000000000001" customHeight="1" thickBot="1" x14ac:dyDescent="0.3">
      <c r="C49" s="170" t="s">
        <v>14</v>
      </c>
      <c r="D49" s="97"/>
      <c r="E49" s="275" t="s">
        <v>77</v>
      </c>
      <c r="F49" s="276"/>
      <c r="G49" s="276"/>
      <c r="H49" s="276"/>
      <c r="I49" s="277"/>
      <c r="J49" s="104"/>
      <c r="K49" s="275" t="s">
        <v>90</v>
      </c>
      <c r="L49" s="276"/>
      <c r="M49" s="276"/>
      <c r="N49" s="276"/>
      <c r="O49" s="277"/>
      <c r="P49" s="108"/>
      <c r="Q49" s="169" t="s">
        <v>125</v>
      </c>
      <c r="R49" s="119"/>
      <c r="S49" s="190"/>
      <c r="T49" s="126"/>
      <c r="U49" s="104"/>
      <c r="V49" s="126"/>
      <c r="W49" s="104"/>
      <c r="X49" s="133"/>
      <c r="Y49" s="104"/>
      <c r="Z49" s="126"/>
      <c r="AA49" s="104"/>
      <c r="AB49" s="88"/>
      <c r="AC49" s="104"/>
      <c r="AD49" s="88"/>
      <c r="AE49" s="104"/>
      <c r="AF49" s="88"/>
      <c r="AG49" s="104"/>
      <c r="AK49" s="87"/>
      <c r="AL49" s="87"/>
      <c r="AM49" s="87"/>
      <c r="AN49" s="87"/>
      <c r="AO49" s="87"/>
      <c r="AP49" s="87"/>
      <c r="AQ49" s="87"/>
      <c r="AR49" s="87"/>
      <c r="AS49" s="87"/>
      <c r="AT49" s="87"/>
    </row>
    <row r="50" spans="2:46" ht="20.100000000000001" customHeight="1" thickBot="1" x14ac:dyDescent="0.3">
      <c r="C50" s="6"/>
      <c r="D50" s="97"/>
      <c r="E50" s="96"/>
      <c r="F50" s="104"/>
      <c r="G50" s="149"/>
      <c r="H50" s="104"/>
      <c r="I50" s="1"/>
      <c r="J50" s="104"/>
      <c r="K50" s="3"/>
      <c r="L50" s="104"/>
      <c r="M50" s="104"/>
      <c r="N50" s="104"/>
      <c r="O50" s="104"/>
      <c r="P50" s="108"/>
      <c r="Q50" s="18"/>
      <c r="R50" s="119"/>
      <c r="S50" s="104"/>
      <c r="T50" s="126"/>
      <c r="U50" s="104"/>
      <c r="V50" s="126"/>
      <c r="W50" s="104"/>
      <c r="X50" s="133"/>
      <c r="Y50" s="104"/>
      <c r="Z50" s="126"/>
      <c r="AA50" s="104"/>
      <c r="AB50" s="88"/>
      <c r="AC50" s="104"/>
      <c r="AD50" s="88"/>
      <c r="AE50" s="104"/>
      <c r="AF50" s="88"/>
      <c r="AG50" s="104"/>
      <c r="AK50" s="87"/>
      <c r="AL50" s="87"/>
      <c r="AM50" s="87"/>
      <c r="AN50" s="87"/>
      <c r="AO50" s="87"/>
      <c r="AP50" s="87"/>
      <c r="AQ50" s="87"/>
      <c r="AR50" s="87"/>
      <c r="AS50" s="87"/>
      <c r="AT50" s="87"/>
    </row>
    <row r="51" spans="2:46" ht="20.100000000000001" customHeight="1" x14ac:dyDescent="0.25">
      <c r="C51" s="50" t="s">
        <v>2</v>
      </c>
      <c r="E51" s="33"/>
      <c r="F51" s="1"/>
      <c r="G51" s="33"/>
      <c r="H51" s="107"/>
      <c r="I51" s="33"/>
      <c r="J51" s="107"/>
      <c r="K51" s="33">
        <f>E51*1.1392</f>
        <v>0</v>
      </c>
      <c r="L51" s="107"/>
      <c r="M51" s="33">
        <f>G51*1.1392</f>
        <v>0</v>
      </c>
      <c r="N51" s="22"/>
      <c r="O51" s="33">
        <f>I51*1.1392</f>
        <v>0</v>
      </c>
      <c r="P51" s="108"/>
      <c r="Q51" s="63" t="s">
        <v>47</v>
      </c>
      <c r="R51" s="118"/>
      <c r="S51" s="302">
        <f>(((S4+S7+S26)*110%*1.3%))+300</f>
        <v>300</v>
      </c>
      <c r="T51" s="104"/>
      <c r="U51" s="306">
        <f>(((S4+S7+S26)*110%*1.3%))+300</f>
        <v>300</v>
      </c>
      <c r="V51" s="104"/>
      <c r="W51" s="306">
        <f>(((S4+S7+S26)*110%*1.3%))+300</f>
        <v>300</v>
      </c>
      <c r="X51" s="122"/>
      <c r="Y51" s="306">
        <f>(((S4+S7+S26)*110%*1.3%))+300</f>
        <v>300</v>
      </c>
      <c r="Z51" s="104"/>
      <c r="AA51" s="306">
        <f>(((S4+S7+S26)*110%*1.3%))+300</f>
        <v>300</v>
      </c>
      <c r="AB51" s="11"/>
      <c r="AC51" s="306">
        <f>(((S4+S7+S26)*110%*1.3%))+300</f>
        <v>300</v>
      </c>
      <c r="AD51" s="11"/>
      <c r="AE51" s="306">
        <f>(((S4+S7+S26)*110%*1.3%))+300</f>
        <v>300</v>
      </c>
      <c r="AF51" s="11"/>
      <c r="AG51" s="306">
        <f>(((S4+S7+S26)*110%*1.3%))+300</f>
        <v>300</v>
      </c>
      <c r="AH51" s="137"/>
      <c r="AK51" s="87"/>
      <c r="AL51" s="87"/>
      <c r="AM51" s="87"/>
      <c r="AN51" s="87"/>
      <c r="AO51" s="87"/>
      <c r="AP51" s="87"/>
      <c r="AQ51" s="87"/>
      <c r="AR51" s="87"/>
      <c r="AS51" s="87"/>
      <c r="AT51" s="87"/>
    </row>
    <row r="52" spans="2:46" ht="20.100000000000001" customHeight="1" x14ac:dyDescent="0.25">
      <c r="C52" s="51" t="s">
        <v>1</v>
      </c>
      <c r="E52" s="34"/>
      <c r="F52" s="22"/>
      <c r="G52" s="34"/>
      <c r="H52" s="96"/>
      <c r="I52" s="34"/>
      <c r="J52" s="96"/>
      <c r="K52" s="34">
        <f>E52*1.1255</f>
        <v>0</v>
      </c>
      <c r="L52" s="96"/>
      <c r="M52" s="34">
        <f>G52*1.1255</f>
        <v>0</v>
      </c>
      <c r="N52" s="3"/>
      <c r="O52" s="34">
        <f>I52*1.1255</f>
        <v>0</v>
      </c>
      <c r="P52" s="108"/>
      <c r="Q52" s="64" t="s">
        <v>4</v>
      </c>
      <c r="R52" s="118"/>
      <c r="S52" s="299">
        <f>SUM(AA91:AA97)</f>
        <v>6.6878100000000007</v>
      </c>
      <c r="T52" s="104"/>
      <c r="U52" s="305">
        <f>S52</f>
        <v>6.6878100000000007</v>
      </c>
      <c r="V52" s="104"/>
      <c r="W52" s="305">
        <f>S52</f>
        <v>6.6878100000000007</v>
      </c>
      <c r="X52" s="122"/>
      <c r="Y52" s="305">
        <f>S52</f>
        <v>6.6878100000000007</v>
      </c>
      <c r="Z52" s="104"/>
      <c r="AA52" s="305">
        <f>S52</f>
        <v>6.6878100000000007</v>
      </c>
      <c r="AB52" s="11"/>
      <c r="AC52" s="305">
        <f>S52</f>
        <v>6.6878100000000007</v>
      </c>
      <c r="AD52" s="11"/>
      <c r="AE52" s="305">
        <f>S52</f>
        <v>6.6878100000000007</v>
      </c>
      <c r="AF52" s="11"/>
      <c r="AG52" s="305">
        <f>S52</f>
        <v>6.6878100000000007</v>
      </c>
      <c r="AH52" s="106"/>
      <c r="AK52" s="87"/>
      <c r="AL52" s="87"/>
      <c r="AM52" s="87"/>
      <c r="AN52" s="87"/>
      <c r="AO52" s="87"/>
      <c r="AP52" s="87"/>
      <c r="AQ52" s="87"/>
      <c r="AR52" s="87"/>
      <c r="AS52" s="87"/>
      <c r="AT52" s="87"/>
    </row>
    <row r="53" spans="2:46" ht="20.100000000000001" customHeight="1" thickBot="1" x14ac:dyDescent="0.3">
      <c r="C53" s="51" t="s">
        <v>6</v>
      </c>
      <c r="E53" s="34"/>
      <c r="F53" s="3"/>
      <c r="G53" s="34"/>
      <c r="H53" s="96"/>
      <c r="I53" s="34"/>
      <c r="J53" s="96"/>
      <c r="K53" s="34">
        <f>E53</f>
        <v>0</v>
      </c>
      <c r="L53" s="96"/>
      <c r="M53" s="34">
        <f>G53</f>
        <v>0</v>
      </c>
      <c r="N53" s="3"/>
      <c r="O53" s="34">
        <f>I53</f>
        <v>0</v>
      </c>
      <c r="P53" s="108"/>
      <c r="Q53" s="64" t="s">
        <v>46</v>
      </c>
      <c r="R53" s="118"/>
      <c r="S53" s="303">
        <v>1000</v>
      </c>
      <c r="T53" s="104"/>
      <c r="U53" s="303">
        <f>S53</f>
        <v>1000</v>
      </c>
      <c r="V53" s="104"/>
      <c r="W53" s="303">
        <f>S53</f>
        <v>1000</v>
      </c>
      <c r="X53" s="122"/>
      <c r="Y53" s="303">
        <f>S53</f>
        <v>1000</v>
      </c>
      <c r="Z53" s="104"/>
      <c r="AA53" s="303">
        <f>S53</f>
        <v>1000</v>
      </c>
      <c r="AB53" s="11"/>
      <c r="AC53" s="303">
        <f>S53</f>
        <v>1000</v>
      </c>
      <c r="AD53" s="11"/>
      <c r="AE53" s="303">
        <f>S53</f>
        <v>1000</v>
      </c>
      <c r="AF53" s="11"/>
      <c r="AG53" s="303">
        <f>S53</f>
        <v>1000</v>
      </c>
      <c r="AH53" s="106"/>
      <c r="AK53" s="87"/>
      <c r="AL53" s="87"/>
      <c r="AM53" s="87"/>
      <c r="AN53" s="87"/>
      <c r="AO53" s="87"/>
      <c r="AP53" s="87"/>
      <c r="AQ53" s="87"/>
      <c r="AR53" s="87"/>
      <c r="AS53" s="87"/>
      <c r="AT53" s="87"/>
    </row>
    <row r="54" spans="2:46" ht="20.100000000000001" customHeight="1" thickBot="1" x14ac:dyDescent="0.3">
      <c r="C54" s="46" t="s">
        <v>78</v>
      </c>
      <c r="E54" s="34"/>
      <c r="F54" s="15"/>
      <c r="G54" s="34"/>
      <c r="H54" s="108"/>
      <c r="I54" s="34"/>
      <c r="J54" s="108"/>
      <c r="K54" s="34">
        <f>E54</f>
        <v>0</v>
      </c>
      <c r="L54" s="108"/>
      <c r="M54" s="34">
        <f>G54</f>
        <v>0</v>
      </c>
      <c r="N54" s="15"/>
      <c r="O54" s="34">
        <f>I54</f>
        <v>0</v>
      </c>
      <c r="P54" s="108"/>
      <c r="Q54" s="65" t="s">
        <v>35</v>
      </c>
      <c r="R54" s="118"/>
      <c r="S54" s="304">
        <f>SUM(S51:S53)</f>
        <v>1306.6878099999999</v>
      </c>
      <c r="T54" s="104"/>
      <c r="U54" s="304">
        <f>S54</f>
        <v>1306.6878099999999</v>
      </c>
      <c r="V54" s="104"/>
      <c r="W54" s="304">
        <f>S54</f>
        <v>1306.6878099999999</v>
      </c>
      <c r="X54" s="122"/>
      <c r="Y54" s="304">
        <f>S54</f>
        <v>1306.6878099999999</v>
      </c>
      <c r="Z54" s="104"/>
      <c r="AA54" s="304">
        <f>S54</f>
        <v>1306.6878099999999</v>
      </c>
      <c r="AB54" s="11"/>
      <c r="AC54" s="304">
        <f>S54</f>
        <v>1306.6878099999999</v>
      </c>
      <c r="AD54" s="11"/>
      <c r="AE54" s="304">
        <f>S54</f>
        <v>1306.6878099999999</v>
      </c>
      <c r="AF54" s="11"/>
      <c r="AG54" s="304">
        <f>S54</f>
        <v>1306.6878099999999</v>
      </c>
      <c r="AK54" s="87"/>
      <c r="AL54" s="87"/>
      <c r="AM54" s="87"/>
      <c r="AN54" s="87"/>
      <c r="AO54" s="87"/>
      <c r="AP54" s="87"/>
      <c r="AQ54" s="87"/>
      <c r="AR54" s="87"/>
      <c r="AS54" s="87"/>
      <c r="AT54" s="87"/>
    </row>
    <row r="55" spans="2:46" ht="20.100000000000001" customHeight="1" thickBot="1" x14ac:dyDescent="0.3">
      <c r="C55" s="46" t="s">
        <v>79</v>
      </c>
      <c r="E55" s="34"/>
      <c r="F55" s="15"/>
      <c r="G55" s="34"/>
      <c r="H55" s="108"/>
      <c r="I55" s="34"/>
      <c r="J55" s="108"/>
      <c r="K55" s="34">
        <f>E55</f>
        <v>0</v>
      </c>
      <c r="L55" s="108"/>
      <c r="M55" s="34">
        <f>G55</f>
        <v>0</v>
      </c>
      <c r="N55" s="15"/>
      <c r="O55" s="34">
        <f>I55</f>
        <v>0</v>
      </c>
      <c r="P55" s="108"/>
      <c r="Q55" s="8"/>
      <c r="R55" s="118"/>
      <c r="S55" s="9"/>
      <c r="T55" s="104"/>
      <c r="U55" s="9"/>
      <c r="V55" s="104"/>
      <c r="W55" s="9"/>
      <c r="X55" s="122"/>
      <c r="Y55" s="9"/>
      <c r="Z55" s="104"/>
      <c r="AA55" s="147"/>
      <c r="AB55" s="88"/>
      <c r="AC55" s="147"/>
      <c r="AD55" s="88"/>
      <c r="AE55" s="147"/>
      <c r="AF55" s="88"/>
      <c r="AG55" s="147"/>
      <c r="AH55" s="104"/>
      <c r="AK55" s="87"/>
      <c r="AL55" s="87"/>
      <c r="AM55" s="87"/>
      <c r="AN55" s="87"/>
      <c r="AO55" s="87"/>
      <c r="AP55" s="87"/>
      <c r="AQ55" s="87"/>
      <c r="AR55" s="87"/>
      <c r="AS55" s="87"/>
      <c r="AT55" s="87"/>
    </row>
    <row r="56" spans="2:46" ht="20.100000000000001" customHeight="1" x14ac:dyDescent="0.25">
      <c r="C56" s="46" t="s">
        <v>0</v>
      </c>
      <c r="E56" s="34"/>
      <c r="F56" s="26"/>
      <c r="G56" s="34"/>
      <c r="H56" s="109"/>
      <c r="I56" s="34"/>
      <c r="J56" s="109"/>
      <c r="K56" s="34">
        <f>IF(E56&gt;275,275,E56)</f>
        <v>0</v>
      </c>
      <c r="L56" s="109"/>
      <c r="M56" s="34">
        <f>IF(G56&gt;275,275,G56)</f>
        <v>0</v>
      </c>
      <c r="N56" s="26"/>
      <c r="O56" s="34">
        <f>IF(I56&gt;275,275,I56)</f>
        <v>0</v>
      </c>
      <c r="P56" s="108"/>
      <c r="Q56" s="66" t="s">
        <v>26</v>
      </c>
      <c r="R56" s="118"/>
      <c r="S56" s="302">
        <f>S54+S45</f>
        <v>2213.3756199999998</v>
      </c>
      <c r="T56" s="104"/>
      <c r="U56" s="302">
        <f>U54+U45</f>
        <v>2262.2631199999996</v>
      </c>
      <c r="V56" s="104"/>
      <c r="W56" s="302">
        <f>W54+W45</f>
        <v>2262.2631199999996</v>
      </c>
      <c r="X56" s="122"/>
      <c r="Y56" s="302">
        <f>Y54+Y45</f>
        <v>2236.8416200000001</v>
      </c>
      <c r="Z56" s="104"/>
      <c r="AA56" s="302">
        <f>AA54+AA45</f>
        <v>2213.3756199999998</v>
      </c>
      <c r="AB56" s="11"/>
      <c r="AC56" s="302">
        <f>AC54+AC45</f>
        <v>2213.3756199999998</v>
      </c>
      <c r="AD56" s="11"/>
      <c r="AE56" s="302">
        <f>AE54+AE45</f>
        <v>2252.4856199999999</v>
      </c>
      <c r="AF56" s="11"/>
      <c r="AG56" s="302">
        <f>AG54+AG45</f>
        <v>2232.9306200000001</v>
      </c>
      <c r="AH56" s="129"/>
      <c r="AK56" s="87"/>
      <c r="AL56" s="87"/>
      <c r="AM56" s="87"/>
      <c r="AN56" s="87"/>
      <c r="AO56" s="87"/>
      <c r="AP56" s="87"/>
      <c r="AQ56" s="87"/>
      <c r="AR56" s="87"/>
      <c r="AS56" s="87"/>
      <c r="AT56" s="87"/>
    </row>
    <row r="57" spans="2:46" ht="20.100000000000001" customHeight="1" x14ac:dyDescent="0.25">
      <c r="C57" s="51" t="s">
        <v>80</v>
      </c>
      <c r="E57" s="37"/>
      <c r="F57" s="15"/>
      <c r="G57" s="37"/>
      <c r="H57" s="108"/>
      <c r="I57" s="37"/>
      <c r="J57" s="108"/>
      <c r="K57" s="34">
        <f>IF(E57&gt;80,80,E57)</f>
        <v>0</v>
      </c>
      <c r="L57" s="108"/>
      <c r="M57" s="34">
        <f>IF(G57&gt;80,80,G57)</f>
        <v>0</v>
      </c>
      <c r="N57" s="15"/>
      <c r="O57" s="34">
        <f>IF(I57&gt;80,80,I57)</f>
        <v>0</v>
      </c>
      <c r="P57" s="108"/>
      <c r="Q57" s="48" t="s">
        <v>111</v>
      </c>
      <c r="R57" s="118"/>
      <c r="S57" s="299">
        <f>S9+W22+AC9</f>
        <v>391.1</v>
      </c>
      <c r="T57" s="104"/>
      <c r="U57" s="305">
        <f>S9+AC9+W22</f>
        <v>391.1</v>
      </c>
      <c r="V57" s="104"/>
      <c r="W57" s="305">
        <f>S9+W22+AC9</f>
        <v>391.1</v>
      </c>
      <c r="X57" s="122"/>
      <c r="Y57" s="305">
        <f>S9+AC9+W22</f>
        <v>391.1</v>
      </c>
      <c r="Z57" s="104"/>
      <c r="AA57" s="305">
        <f>S9+W22+AC9</f>
        <v>391.1</v>
      </c>
      <c r="AB57" s="11"/>
      <c r="AC57" s="305">
        <f>S9+W22+AC9</f>
        <v>391.1</v>
      </c>
      <c r="AD57" s="11"/>
      <c r="AE57" s="305">
        <f>S9+W22+AC9</f>
        <v>391.1</v>
      </c>
      <c r="AF57" s="11"/>
      <c r="AG57" s="305">
        <f>S9+W22+AC9</f>
        <v>391.1</v>
      </c>
      <c r="AH57" s="130">
        <f>IF(AH55=0,0,AH48/AH55)</f>
        <v>0</v>
      </c>
      <c r="AK57" s="87"/>
      <c r="AL57" s="87"/>
      <c r="AM57" s="87"/>
      <c r="AN57" s="87"/>
      <c r="AO57" s="87"/>
      <c r="AP57" s="87"/>
      <c r="AQ57" s="87"/>
      <c r="AR57" s="87"/>
      <c r="AS57" s="87"/>
      <c r="AT57" s="87"/>
    </row>
    <row r="58" spans="2:46" ht="20.100000000000001" customHeight="1" thickBot="1" x14ac:dyDescent="0.3">
      <c r="C58" s="51" t="s">
        <v>81</v>
      </c>
      <c r="E58" s="34"/>
      <c r="F58" s="15"/>
      <c r="G58" s="34"/>
      <c r="H58" s="108"/>
      <c r="I58" s="34"/>
      <c r="J58" s="108"/>
      <c r="K58" s="34">
        <f>IF(E58/2&gt;(K51+K52+K53+K54+K55+K56)*0.2,(K51+K52+K53+K54+K55+K56)*0.2,E58/2)</f>
        <v>0</v>
      </c>
      <c r="L58" s="213"/>
      <c r="M58" s="34">
        <f t="shared" ref="M58:O58" si="2">IF(G58/2&gt;(M51+M52+M53+M54+M55+M56)*0.2,(M51+M52+M53+M54+M55+M56)*0.2,G58/2)</f>
        <v>0</v>
      </c>
      <c r="N58" s="214"/>
      <c r="O58" s="34">
        <f t="shared" si="2"/>
        <v>0</v>
      </c>
      <c r="P58" s="108"/>
      <c r="Q58" s="48" t="s">
        <v>5</v>
      </c>
      <c r="R58" s="118"/>
      <c r="S58" s="250">
        <f>W21+S8</f>
        <v>0</v>
      </c>
      <c r="T58" s="104"/>
      <c r="U58" s="250">
        <f>S58</f>
        <v>0</v>
      </c>
      <c r="V58" s="104"/>
      <c r="W58" s="250">
        <f>S58</f>
        <v>0</v>
      </c>
      <c r="X58" s="122"/>
      <c r="Y58" s="250">
        <f>S58</f>
        <v>0</v>
      </c>
      <c r="Z58" s="104"/>
      <c r="AA58" s="250">
        <f>S58</f>
        <v>0</v>
      </c>
      <c r="AB58" s="11"/>
      <c r="AC58" s="250">
        <f>S58</f>
        <v>0</v>
      </c>
      <c r="AD58" s="11"/>
      <c r="AE58" s="307">
        <f>S58</f>
        <v>0</v>
      </c>
      <c r="AF58" s="11"/>
      <c r="AG58" s="250">
        <f>S58</f>
        <v>0</v>
      </c>
      <c r="AK58" s="87"/>
      <c r="AL58" s="87"/>
      <c r="AM58" s="87"/>
      <c r="AN58" s="87"/>
      <c r="AO58" s="87"/>
      <c r="AP58" s="87"/>
      <c r="AQ58" s="87"/>
      <c r="AR58" s="87"/>
      <c r="AS58" s="87"/>
      <c r="AT58" s="87"/>
    </row>
    <row r="59" spans="2:46" ht="20.100000000000001" customHeight="1" thickBot="1" x14ac:dyDescent="0.3">
      <c r="C59" s="51" t="s">
        <v>82</v>
      </c>
      <c r="E59" s="37"/>
      <c r="F59" s="15"/>
      <c r="G59" s="37"/>
      <c r="H59" s="108"/>
      <c r="I59" s="37"/>
      <c r="J59" s="108"/>
      <c r="K59" s="34">
        <f>IF(E59*75&gt;(K51+K52+K53+K54+K55+K56)*0.2,(K51+K52+K53+K54+K55+K56)*0.2,E59*75)</f>
        <v>0</v>
      </c>
      <c r="L59" s="213"/>
      <c r="M59" s="34">
        <f t="shared" ref="M59:O59" si="3">IF(G59*75&gt;(M51+M52+M53+M54+M55+M56)*0.2,(M51+M52+M53+M54+M55+M56)*0.2,G59*75)</f>
        <v>0</v>
      </c>
      <c r="N59" s="214"/>
      <c r="O59" s="34">
        <f t="shared" si="3"/>
        <v>0</v>
      </c>
      <c r="P59" s="108"/>
      <c r="Q59" s="65" t="s">
        <v>25</v>
      </c>
      <c r="R59" s="118"/>
      <c r="S59" s="301">
        <f>SUM(S56:S57)-S58</f>
        <v>2604.4756199999997</v>
      </c>
      <c r="T59" s="127"/>
      <c r="U59" s="301">
        <f>SUM(U56:U57)-U58</f>
        <v>2653.3631199999995</v>
      </c>
      <c r="V59" s="127"/>
      <c r="W59" s="301">
        <f>SUM(W56:W57)-W58</f>
        <v>2653.3631199999995</v>
      </c>
      <c r="X59" s="127"/>
      <c r="Y59" s="301">
        <f>SUM(Y56:Y57)-Y58</f>
        <v>2627.9416200000001</v>
      </c>
      <c r="Z59" s="127"/>
      <c r="AA59" s="301">
        <f>SUM(AA56:AA57)-AA58</f>
        <v>2604.4756199999997</v>
      </c>
      <c r="AB59" s="11"/>
      <c r="AC59" s="301">
        <f>SUM(AC56:AC57)-AC58</f>
        <v>2604.4756199999997</v>
      </c>
      <c r="AD59" s="11"/>
      <c r="AE59" s="301">
        <f>SUM(AE56:AE57)-AE58</f>
        <v>2643.5856199999998</v>
      </c>
      <c r="AF59" s="11"/>
      <c r="AG59" s="301">
        <f>SUM(AG56:AG57)-AG58</f>
        <v>2624.03062</v>
      </c>
      <c r="AK59" s="87"/>
      <c r="AL59" s="87"/>
      <c r="AM59" s="87"/>
      <c r="AN59" s="87"/>
      <c r="AO59" s="87"/>
      <c r="AP59" s="87"/>
      <c r="AQ59" s="87"/>
      <c r="AR59" s="87"/>
      <c r="AS59" s="87"/>
      <c r="AT59" s="87"/>
    </row>
    <row r="60" spans="2:46" ht="20.100000000000001" customHeight="1" thickBot="1" x14ac:dyDescent="0.3">
      <c r="C60" s="46" t="s">
        <v>83</v>
      </c>
      <c r="E60" s="34"/>
      <c r="F60" s="15"/>
      <c r="G60" s="34"/>
      <c r="H60" s="108"/>
      <c r="I60" s="34"/>
      <c r="J60" s="108"/>
      <c r="K60" s="34">
        <f>E60*0.85</f>
        <v>0</v>
      </c>
      <c r="L60" s="108"/>
      <c r="M60" s="34">
        <f>G60*0.85</f>
        <v>0</v>
      </c>
      <c r="N60" s="15"/>
      <c r="O60" s="34">
        <f>I60*0.85</f>
        <v>0</v>
      </c>
      <c r="P60" s="108"/>
      <c r="S60" s="11"/>
      <c r="T60" s="88"/>
      <c r="U60" s="11"/>
      <c r="V60" s="88"/>
      <c r="W60" s="11"/>
      <c r="X60" s="88"/>
      <c r="Y60" s="11"/>
      <c r="Z60" s="88"/>
      <c r="AA60" s="88"/>
      <c r="AB60" s="88"/>
      <c r="AC60" s="88"/>
      <c r="AD60" s="88"/>
      <c r="AE60" s="88"/>
      <c r="AF60" s="88"/>
      <c r="AG60" s="88"/>
      <c r="AK60" s="87"/>
      <c r="AL60" s="87"/>
      <c r="AM60" s="87"/>
      <c r="AN60" s="87"/>
      <c r="AO60" s="87"/>
      <c r="AP60" s="87"/>
      <c r="AQ60" s="87"/>
      <c r="AR60" s="87"/>
      <c r="AS60" s="87"/>
      <c r="AT60" s="87"/>
    </row>
    <row r="61" spans="2:46" ht="20.100000000000001" customHeight="1" thickBot="1" x14ac:dyDescent="0.3">
      <c r="C61" s="46" t="s">
        <v>84</v>
      </c>
      <c r="E61" s="34"/>
      <c r="F61" s="15"/>
      <c r="G61" s="34"/>
      <c r="H61" s="108"/>
      <c r="I61" s="34"/>
      <c r="J61" s="108"/>
      <c r="K61" s="34">
        <f>E61*0.85</f>
        <v>0</v>
      </c>
      <c r="L61" s="108"/>
      <c r="M61" s="34">
        <f>G61*0.85</f>
        <v>0</v>
      </c>
      <c r="N61" s="15"/>
      <c r="O61" s="34">
        <f>I61*0.85</f>
        <v>0</v>
      </c>
      <c r="P61" s="108"/>
      <c r="Q61" s="169" t="s">
        <v>9</v>
      </c>
      <c r="R61" s="118"/>
      <c r="S61" s="254">
        <f>IF(S59&lt;=S65,MAX(250,MIN(1500,S59*0.5%)),IF(S59&gt;S65,MAX(250,MIN(3500,S59*2%))))</f>
        <v>250</v>
      </c>
      <c r="T61" s="128"/>
      <c r="U61" s="254">
        <f>IF(U59&lt;=U65,MAX(250,MIN(1500,U59*0.5%)),IF(U59&gt;U65,MAX(250,MIN(3500,U59*2%))))</f>
        <v>250</v>
      </c>
      <c r="V61" s="128"/>
      <c r="W61" s="254">
        <f>IF(W59&lt;=W65,MAX(250,MIN(1500,W59*0.5%)),IF(W59&gt;W65,MAX(250,MIN(3500,W59*2%))))</f>
        <v>250</v>
      </c>
      <c r="X61" s="128"/>
      <c r="Y61" s="254">
        <f>IF(Y59&lt;=Y65,MAX(250,MIN(1500,Y59*0.5%)),IF(Y59&gt;Y65,MAX(250,MIN(3500,Y59*2%))))</f>
        <v>250</v>
      </c>
      <c r="Z61" s="128"/>
      <c r="AA61" s="254">
        <f>IF(AA59&lt;=AA65,MAX(250,MIN(1500,AA59*0.5%)),IF(AA59&gt;AA65,MAX(250,MIN(3500,AA59*2%))))</f>
        <v>250</v>
      </c>
      <c r="AB61" s="11"/>
      <c r="AC61" s="254">
        <f>IF(AC59&lt;=AC65,MAX(250,MIN(1500,AC59*0.5%)),IF(AC59&gt;AC65,MAX(250,MIN(3500,AC59*2%))))</f>
        <v>250</v>
      </c>
      <c r="AD61" s="11"/>
      <c r="AE61" s="254">
        <f>IF(AE59&lt;=AE65,MAX(250,MIN(1500,AE59*0.5%)),IF(AE59&gt;AE65,MAX(250,MIN(3500,AE59*2%))))</f>
        <v>250</v>
      </c>
      <c r="AF61" s="11"/>
      <c r="AG61" s="254">
        <f>IF(AG59&lt;=AG65,MAX(250,MIN(1500,AG59*0.5%)),IF(AG59&gt;AG65,MAX(250,MIN(3500,AG59*2%))))</f>
        <v>250</v>
      </c>
      <c r="AK61" s="87"/>
      <c r="AL61" s="87"/>
      <c r="AM61" s="87"/>
      <c r="AN61" s="87"/>
      <c r="AO61" s="87"/>
      <c r="AP61" s="87"/>
      <c r="AQ61" s="87"/>
      <c r="AR61" s="87"/>
      <c r="AS61" s="87"/>
      <c r="AT61" s="87"/>
    </row>
    <row r="62" spans="2:46" ht="20.100000000000001" customHeight="1" thickBot="1" x14ac:dyDescent="0.3">
      <c r="C62" s="46" t="s">
        <v>85</v>
      </c>
      <c r="E62" s="34"/>
      <c r="F62" s="15"/>
      <c r="G62" s="34"/>
      <c r="H62" s="108"/>
      <c r="I62" s="34"/>
      <c r="J62" s="108"/>
      <c r="K62" s="34">
        <f>E62</f>
        <v>0</v>
      </c>
      <c r="L62" s="108"/>
      <c r="M62" s="34">
        <f>G62</f>
        <v>0</v>
      </c>
      <c r="N62" s="15"/>
      <c r="O62" s="34">
        <f>I62</f>
        <v>0</v>
      </c>
      <c r="P62" s="108"/>
      <c r="Q62" s="18"/>
      <c r="R62" s="118"/>
      <c r="S62" s="13"/>
      <c r="T62" s="106"/>
      <c r="U62" s="13"/>
      <c r="V62" s="106"/>
      <c r="W62" s="13"/>
      <c r="X62" s="106"/>
      <c r="Y62" s="13"/>
      <c r="Z62" s="106"/>
      <c r="AA62" s="106"/>
      <c r="AB62" s="88"/>
      <c r="AC62" s="106"/>
      <c r="AD62" s="88"/>
      <c r="AE62" s="106"/>
      <c r="AF62" s="88"/>
      <c r="AG62" s="106"/>
      <c r="AK62" s="87"/>
      <c r="AL62" s="87"/>
      <c r="AM62" s="87"/>
      <c r="AN62" s="87"/>
      <c r="AO62" s="87"/>
      <c r="AP62" s="87"/>
      <c r="AQ62" s="87"/>
      <c r="AR62" s="87"/>
      <c r="AS62" s="87"/>
      <c r="AT62" s="87"/>
    </row>
    <row r="63" spans="2:46" ht="20.100000000000001" customHeight="1" thickBot="1" x14ac:dyDescent="0.3">
      <c r="C63" s="46" t="s">
        <v>86</v>
      </c>
      <c r="E63" s="34"/>
      <c r="F63" s="15"/>
      <c r="G63" s="34"/>
      <c r="H63" s="108"/>
      <c r="I63" s="34"/>
      <c r="J63" s="108"/>
      <c r="K63" s="34">
        <f>E63</f>
        <v>0</v>
      </c>
      <c r="L63" s="108"/>
      <c r="M63" s="34">
        <f>G63</f>
        <v>0</v>
      </c>
      <c r="N63" s="15"/>
      <c r="O63" s="34">
        <f>I63</f>
        <v>0</v>
      </c>
      <c r="P63" s="108"/>
      <c r="Q63" s="169" t="s">
        <v>38</v>
      </c>
      <c r="R63" s="118"/>
      <c r="S63" s="301">
        <f>S54+S59+S61</f>
        <v>4161.1634299999996</v>
      </c>
      <c r="T63" s="106"/>
      <c r="U63" s="301">
        <f>U61+U59+U54</f>
        <v>4210.0509299999994</v>
      </c>
      <c r="V63" s="106"/>
      <c r="W63" s="301">
        <f>W61+W59+W54</f>
        <v>4210.0509299999994</v>
      </c>
      <c r="X63" s="106"/>
      <c r="Y63" s="301">
        <f>Y61+Y59+Y54</f>
        <v>4184.62943</v>
      </c>
      <c r="Z63" s="106"/>
      <c r="AA63" s="301">
        <f>AA61+AA59+AA54</f>
        <v>4161.1634299999996</v>
      </c>
      <c r="AB63" s="11"/>
      <c r="AC63" s="301">
        <f>AC61+AC59+AC54</f>
        <v>4161.1634299999996</v>
      </c>
      <c r="AD63" s="11"/>
      <c r="AE63" s="301">
        <f>AE61+AE59+AE54</f>
        <v>4200.2734299999993</v>
      </c>
      <c r="AF63" s="11"/>
      <c r="AG63" s="301">
        <f>AG61+AG59+AG54</f>
        <v>4180.7184299999999</v>
      </c>
      <c r="AK63" s="87"/>
      <c r="AL63" s="87"/>
      <c r="AM63" s="87"/>
      <c r="AN63" s="87"/>
      <c r="AO63" s="87"/>
      <c r="AP63" s="87"/>
      <c r="AQ63" s="87"/>
      <c r="AR63" s="87"/>
      <c r="AS63" s="87"/>
      <c r="AT63" s="87"/>
    </row>
    <row r="64" spans="2:46" s="4" customFormat="1" ht="20.100000000000001" customHeight="1" thickBot="1" x14ac:dyDescent="0.3">
      <c r="B64" s="90"/>
      <c r="C64" s="46" t="s">
        <v>87</v>
      </c>
      <c r="D64" s="87"/>
      <c r="E64" s="34"/>
      <c r="F64" s="15"/>
      <c r="G64" s="34"/>
      <c r="H64" s="108"/>
      <c r="I64" s="34"/>
      <c r="J64" s="108"/>
      <c r="K64" s="34">
        <f>E64</f>
        <v>0</v>
      </c>
      <c r="L64" s="108"/>
      <c r="M64" s="34">
        <f>G64</f>
        <v>0</v>
      </c>
      <c r="N64" s="15"/>
      <c r="O64" s="34">
        <f>I64</f>
        <v>0</v>
      </c>
      <c r="P64" s="108"/>
      <c r="Q64" s="21"/>
      <c r="R64" s="88"/>
      <c r="S64" s="11"/>
      <c r="T64" s="88"/>
      <c r="U64" s="11"/>
      <c r="V64" s="88"/>
      <c r="W64" s="11"/>
      <c r="X64" s="88"/>
      <c r="Y64" s="11"/>
      <c r="Z64" s="88"/>
      <c r="AA64" s="88"/>
      <c r="AB64" s="88"/>
      <c r="AC64" s="88"/>
      <c r="AD64" s="88"/>
      <c r="AE64" s="88"/>
      <c r="AF64" s="88"/>
      <c r="AG64" s="88"/>
      <c r="AH64" s="87"/>
      <c r="AI64" s="87"/>
      <c r="AJ64" s="21"/>
      <c r="AK64" s="87"/>
      <c r="AL64" s="87"/>
      <c r="AM64" s="87"/>
      <c r="AN64" s="87"/>
      <c r="AO64" s="87"/>
      <c r="AP64" s="87"/>
      <c r="AQ64" s="87"/>
      <c r="AR64" s="87"/>
      <c r="AS64" s="87"/>
      <c r="AT64" s="90"/>
    </row>
    <row r="65" spans="2:46" ht="20.100000000000001" customHeight="1" thickBot="1" x14ac:dyDescent="0.3">
      <c r="C65" s="46" t="s">
        <v>88</v>
      </c>
      <c r="E65" s="34"/>
      <c r="F65" s="15"/>
      <c r="G65" s="34"/>
      <c r="H65" s="108"/>
      <c r="I65" s="34"/>
      <c r="J65" s="108"/>
      <c r="K65" s="34">
        <f>E65</f>
        <v>0</v>
      </c>
      <c r="L65" s="108"/>
      <c r="M65" s="34">
        <f>G65</f>
        <v>0</v>
      </c>
      <c r="N65" s="15"/>
      <c r="O65" s="34">
        <f>I65</f>
        <v>0</v>
      </c>
      <c r="P65" s="108"/>
      <c r="Q65" s="170" t="s">
        <v>15</v>
      </c>
      <c r="R65" s="110"/>
      <c r="S65" s="32">
        <f>S33+AE33</f>
        <v>0</v>
      </c>
      <c r="T65" s="104"/>
      <c r="U65" s="36">
        <f>S33+AE33</f>
        <v>0</v>
      </c>
      <c r="V65" s="104"/>
      <c r="W65" s="36">
        <f>S33+AE33</f>
        <v>0</v>
      </c>
      <c r="X65" s="122"/>
      <c r="Y65" s="36">
        <f>S33+AE33</f>
        <v>0</v>
      </c>
      <c r="Z65" s="104"/>
      <c r="AA65" s="36">
        <f>S33+AE33</f>
        <v>0</v>
      </c>
      <c r="AB65" s="11"/>
      <c r="AC65" s="36">
        <f>S33+AE33</f>
        <v>0</v>
      </c>
      <c r="AD65" s="11"/>
      <c r="AE65" s="36">
        <f>S33+AE33</f>
        <v>0</v>
      </c>
      <c r="AF65" s="11"/>
      <c r="AG65" s="36">
        <f>S33+AE33</f>
        <v>0</v>
      </c>
      <c r="AK65" s="87"/>
      <c r="AL65" s="87"/>
      <c r="AM65" s="87"/>
      <c r="AN65" s="87"/>
      <c r="AO65" s="87"/>
      <c r="AP65" s="87"/>
      <c r="AQ65" s="87"/>
      <c r="AR65" s="87"/>
      <c r="AS65" s="87"/>
      <c r="AT65" s="87"/>
    </row>
    <row r="66" spans="2:46" ht="20.100000000000001" customHeight="1" thickBot="1" x14ac:dyDescent="0.3">
      <c r="C66" s="49" t="s">
        <v>89</v>
      </c>
      <c r="E66" s="35"/>
      <c r="F66" s="15"/>
      <c r="G66" s="35"/>
      <c r="H66" s="108"/>
      <c r="I66" s="35"/>
      <c r="J66" s="108"/>
      <c r="K66" s="35">
        <f>E66</f>
        <v>0</v>
      </c>
      <c r="L66" s="108"/>
      <c r="M66" s="35">
        <f>G66</f>
        <v>0</v>
      </c>
      <c r="N66" s="15"/>
      <c r="O66" s="35">
        <f>I66</f>
        <v>0</v>
      </c>
      <c r="P66" s="108"/>
      <c r="Q66" s="19"/>
      <c r="R66" s="120"/>
      <c r="S66" s="16"/>
      <c r="T66" s="129"/>
      <c r="U66" s="16"/>
      <c r="V66" s="129"/>
      <c r="W66" s="16"/>
      <c r="X66" s="129"/>
      <c r="Y66" s="16"/>
      <c r="Z66" s="129"/>
      <c r="AA66" s="129"/>
      <c r="AB66" s="88"/>
      <c r="AC66" s="129"/>
      <c r="AD66" s="88"/>
      <c r="AE66" s="129"/>
      <c r="AF66" s="88"/>
      <c r="AG66" s="129"/>
      <c r="AK66" s="87"/>
      <c r="AL66" s="87"/>
      <c r="AM66" s="87"/>
      <c r="AN66" s="87"/>
      <c r="AO66" s="87"/>
      <c r="AP66" s="87"/>
      <c r="AQ66" s="87"/>
      <c r="AR66" s="87"/>
      <c r="AS66" s="87"/>
      <c r="AT66" s="87"/>
    </row>
    <row r="67" spans="2:46" ht="20.100000000000001" customHeight="1" thickBot="1" x14ac:dyDescent="0.3">
      <c r="C67" s="87"/>
      <c r="E67" s="87"/>
      <c r="F67" s="108"/>
      <c r="G67" s="87"/>
      <c r="H67" s="108"/>
      <c r="I67" s="108"/>
      <c r="J67" s="108"/>
      <c r="K67" s="215">
        <f>SUM(K51:K61)-K62-K63-K65</f>
        <v>0</v>
      </c>
      <c r="L67" s="108"/>
      <c r="M67" s="215">
        <f t="shared" ref="M67:O67" si="4">SUM(M51:M61)-M62-M63-M65</f>
        <v>0</v>
      </c>
      <c r="N67" s="108"/>
      <c r="O67" s="215">
        <f t="shared" si="4"/>
        <v>0</v>
      </c>
      <c r="P67" s="108"/>
      <c r="Q67" s="170" t="s">
        <v>28</v>
      </c>
      <c r="R67" s="120"/>
      <c r="S67" s="227">
        <f>IF(S65=0,0,S63/S65)</f>
        <v>0</v>
      </c>
      <c r="T67" s="130">
        <f t="shared" ref="T67:Z67" si="5">IF(T65=0,0,T59/T65)</f>
        <v>0</v>
      </c>
      <c r="U67" s="227">
        <f>IF(U65=0,0,U63/U65)</f>
        <v>0</v>
      </c>
      <c r="V67" s="228">
        <f t="shared" si="5"/>
        <v>0</v>
      </c>
      <c r="W67" s="227">
        <f>IF(W65=0,0,W63/W65)</f>
        <v>0</v>
      </c>
      <c r="X67" s="228">
        <f t="shared" si="5"/>
        <v>0</v>
      </c>
      <c r="Y67" s="227">
        <f>IF(Y65=0,0,Y63/Y65)</f>
        <v>0</v>
      </c>
      <c r="Z67" s="228">
        <f t="shared" si="5"/>
        <v>0</v>
      </c>
      <c r="AA67" s="227">
        <f>IF(AA65=0,0,AA63/AA65)</f>
        <v>0</v>
      </c>
      <c r="AB67" s="229"/>
      <c r="AC67" s="227">
        <f>IF(AC65=0,0,AC63/AC65)</f>
        <v>0</v>
      </c>
      <c r="AD67" s="229"/>
      <c r="AE67" s="227">
        <f>IF(AE65=0,0,AE63/AE65)</f>
        <v>0</v>
      </c>
      <c r="AF67" s="229"/>
      <c r="AG67" s="227">
        <f>IF(AG65=0,0,AG63/AG65)</f>
        <v>0</v>
      </c>
      <c r="AK67" s="87"/>
      <c r="AL67" s="87"/>
      <c r="AM67" s="87"/>
      <c r="AN67" s="87"/>
      <c r="AO67" s="87"/>
      <c r="AP67" s="87"/>
      <c r="AQ67" s="87"/>
      <c r="AR67" s="87"/>
      <c r="AS67" s="87"/>
      <c r="AT67" s="87"/>
    </row>
    <row r="68" spans="2:46" ht="24" customHeight="1" thickBot="1" x14ac:dyDescent="0.3">
      <c r="C68" s="87"/>
      <c r="E68" s="87"/>
      <c r="F68" s="113"/>
      <c r="G68" s="87"/>
      <c r="H68" s="110"/>
      <c r="I68" s="110"/>
      <c r="J68" s="110"/>
      <c r="K68" s="110"/>
      <c r="L68" s="110"/>
      <c r="M68" s="110"/>
      <c r="N68" s="110"/>
      <c r="O68" s="110"/>
      <c r="P68" s="108"/>
      <c r="Q68" s="138"/>
      <c r="R68" s="120"/>
      <c r="S68" s="94"/>
      <c r="T68" s="94"/>
      <c r="U68" s="132"/>
      <c r="V68" s="132"/>
      <c r="W68" s="142"/>
      <c r="X68" s="134"/>
      <c r="Y68" s="142"/>
      <c r="Z68" s="142"/>
      <c r="AA68" s="146"/>
      <c r="AB68" s="87"/>
      <c r="AC68" s="87"/>
      <c r="AD68" s="87"/>
      <c r="AE68" s="87"/>
      <c r="AF68" s="87"/>
      <c r="AG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</row>
    <row r="69" spans="2:46" s="17" customFormat="1" ht="15" customHeight="1" thickBot="1" x14ac:dyDescent="0.25">
      <c r="B69" s="91"/>
      <c r="C69" s="207" t="s">
        <v>122</v>
      </c>
      <c r="D69" s="98"/>
      <c r="E69" s="174" t="s">
        <v>119</v>
      </c>
      <c r="F69" s="154"/>
      <c r="G69" s="174" t="s">
        <v>120</v>
      </c>
      <c r="H69" s="122"/>
      <c r="I69" s="174" t="s">
        <v>121</v>
      </c>
      <c r="J69" s="91"/>
      <c r="K69" s="230" t="s">
        <v>115</v>
      </c>
      <c r="L69" s="151"/>
      <c r="M69" s="91"/>
      <c r="N69" s="247"/>
      <c r="O69" s="248" t="s">
        <v>131</v>
      </c>
      <c r="P69" s="111"/>
      <c r="Q69" s="207" t="s">
        <v>123</v>
      </c>
      <c r="R69" s="98"/>
      <c r="S69" s="174" t="s">
        <v>119</v>
      </c>
      <c r="T69" s="154"/>
      <c r="U69" s="174" t="s">
        <v>120</v>
      </c>
      <c r="V69" s="122"/>
      <c r="W69" s="174" t="s">
        <v>121</v>
      </c>
      <c r="X69" s="91"/>
      <c r="Y69" s="139"/>
      <c r="Z69" s="151"/>
      <c r="AA69" s="255" t="s">
        <v>115</v>
      </c>
      <c r="AB69" s="256"/>
      <c r="AC69" s="257"/>
      <c r="AD69" s="143"/>
      <c r="AE69" s="92"/>
      <c r="AF69" s="91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91"/>
      <c r="AS69" s="91"/>
      <c r="AT69" s="91"/>
    </row>
    <row r="70" spans="2:46" s="91" customFormat="1" ht="20.100000000000001" customHeight="1" thickBot="1" x14ac:dyDescent="0.25">
      <c r="C70" s="148"/>
      <c r="D70" s="153"/>
      <c r="E70" s="153"/>
      <c r="F70" s="153"/>
      <c r="G70" s="153"/>
      <c r="I70" s="111"/>
      <c r="J70" s="111"/>
      <c r="K70" s="117"/>
      <c r="L70" s="151"/>
      <c r="M70" s="92"/>
      <c r="N70" s="111"/>
      <c r="O70" s="111"/>
      <c r="P70" s="143"/>
      <c r="Q70" s="148"/>
      <c r="R70" s="153"/>
      <c r="S70" s="153"/>
      <c r="T70" s="153"/>
      <c r="U70" s="153"/>
      <c r="W70" s="111"/>
      <c r="X70" s="111"/>
      <c r="Y70" s="122"/>
      <c r="Z70" s="151"/>
      <c r="AA70" s="117"/>
      <c r="AB70" s="111"/>
      <c r="AC70" s="111"/>
      <c r="AD70" s="111"/>
    </row>
    <row r="71" spans="2:46" s="91" customFormat="1" ht="20.100000000000001" customHeight="1" thickBot="1" x14ac:dyDescent="0.3">
      <c r="C71" s="189" t="s">
        <v>75</v>
      </c>
      <c r="D71" s="101"/>
      <c r="E71" s="189" t="s">
        <v>114</v>
      </c>
      <c r="F71" s="182"/>
      <c r="G71" s="189" t="s">
        <v>114</v>
      </c>
      <c r="H71" s="117"/>
      <c r="I71" s="189" t="s">
        <v>114</v>
      </c>
      <c r="J71" s="111"/>
      <c r="K71" s="117"/>
      <c r="L71" s="117"/>
      <c r="M71" s="92"/>
      <c r="N71" s="111"/>
      <c r="O71" s="111"/>
      <c r="P71" s="111"/>
      <c r="Q71" s="189" t="s">
        <v>75</v>
      </c>
      <c r="R71" s="101"/>
      <c r="S71" s="189" t="s">
        <v>114</v>
      </c>
      <c r="T71" s="182"/>
      <c r="U71" s="189" t="s">
        <v>114</v>
      </c>
      <c r="V71" s="117"/>
      <c r="W71" s="189" t="s">
        <v>114</v>
      </c>
      <c r="X71" s="111"/>
      <c r="Y71" s="122"/>
      <c r="Z71" s="117"/>
      <c r="AA71" s="117"/>
      <c r="AB71" s="111"/>
      <c r="AC71" s="111"/>
      <c r="AD71" s="117"/>
      <c r="AE71" s="127"/>
      <c r="AF71" s="127"/>
      <c r="AG71" s="127"/>
    </row>
    <row r="72" spans="2:46" s="92" customFormat="1" ht="20.100000000000001" customHeight="1" x14ac:dyDescent="0.25">
      <c r="C72" s="175">
        <v>10</v>
      </c>
      <c r="D72" s="101"/>
      <c r="E72" s="178">
        <v>3.6799999999999999E-2</v>
      </c>
      <c r="F72" s="184"/>
      <c r="G72" s="178">
        <v>3.8899999999999997E-2</v>
      </c>
      <c r="H72" s="117"/>
      <c r="I72" s="178">
        <v>4.0899999999999999E-2</v>
      </c>
      <c r="J72" s="111"/>
      <c r="K72" s="181" t="s">
        <v>14</v>
      </c>
      <c r="L72" s="184"/>
      <c r="M72" s="205">
        <f>K67+M67+O67</f>
        <v>0</v>
      </c>
      <c r="N72" s="111"/>
      <c r="O72" s="205">
        <f>K67+M67+O67</f>
        <v>0</v>
      </c>
      <c r="P72" s="117"/>
      <c r="Q72" s="175">
        <v>10</v>
      </c>
      <c r="R72" s="101"/>
      <c r="S72" s="178">
        <v>4.4999999999999998E-2</v>
      </c>
      <c r="T72" s="184"/>
      <c r="U72" s="178">
        <v>4.7100000000000003E-2</v>
      </c>
      <c r="V72" s="117"/>
      <c r="W72" s="178">
        <v>4.9200000000000001E-2</v>
      </c>
      <c r="X72" s="111"/>
      <c r="Y72" s="121"/>
      <c r="Z72" s="184"/>
      <c r="AA72" s="181" t="s">
        <v>14</v>
      </c>
      <c r="AB72" s="111"/>
      <c r="AC72" s="205">
        <f>K67+M67+O67</f>
        <v>0</v>
      </c>
      <c r="AD72" s="117"/>
      <c r="AE72" s="127"/>
      <c r="AF72" s="127"/>
      <c r="AG72" s="127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</row>
    <row r="73" spans="2:46" s="92" customFormat="1" ht="20.100000000000001" customHeight="1" x14ac:dyDescent="0.25">
      <c r="C73" s="176">
        <v>12</v>
      </c>
      <c r="D73" s="101"/>
      <c r="E73" s="179">
        <v>3.8399999999999997E-2</v>
      </c>
      <c r="F73" s="182"/>
      <c r="G73" s="179">
        <v>4.0399999999999998E-2</v>
      </c>
      <c r="H73" s="117"/>
      <c r="I73" s="179">
        <v>4.2500000000000003E-2</v>
      </c>
      <c r="J73" s="111"/>
      <c r="K73" s="183"/>
      <c r="L73" s="184"/>
      <c r="M73" s="155"/>
      <c r="N73" s="111"/>
      <c r="O73" s="155"/>
      <c r="P73" s="117"/>
      <c r="Q73" s="176">
        <v>12</v>
      </c>
      <c r="R73" s="101"/>
      <c r="S73" s="179">
        <v>4.7199999999999999E-2</v>
      </c>
      <c r="T73" s="182"/>
      <c r="U73" s="179">
        <v>4.9299999999999997E-2</v>
      </c>
      <c r="V73" s="117"/>
      <c r="W73" s="179">
        <v>5.1400000000000001E-2</v>
      </c>
      <c r="X73" s="111"/>
      <c r="Y73" s="121"/>
      <c r="Z73" s="184"/>
      <c r="AA73" s="183"/>
      <c r="AB73" s="111"/>
      <c r="AC73" s="155"/>
      <c r="AD73" s="96"/>
      <c r="AE73" s="127"/>
      <c r="AF73" s="127"/>
      <c r="AG73" s="127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</row>
    <row r="74" spans="2:46" s="92" customFormat="1" ht="20.100000000000001" customHeight="1" x14ac:dyDescent="0.25">
      <c r="C74" s="176">
        <v>15</v>
      </c>
      <c r="D74" s="101"/>
      <c r="E74" s="179">
        <v>3.8399999999999997E-2</v>
      </c>
      <c r="F74" s="186"/>
      <c r="G74" s="179">
        <v>4.0399999999999998E-2</v>
      </c>
      <c r="H74" s="91"/>
      <c r="I74" s="179">
        <v>4.2500000000000003E-2</v>
      </c>
      <c r="J74" s="104"/>
      <c r="K74" s="185" t="s">
        <v>116</v>
      </c>
      <c r="L74" s="184"/>
      <c r="M74" s="205"/>
      <c r="N74" s="111"/>
      <c r="O74" s="205">
        <f>M74</f>
        <v>0</v>
      </c>
      <c r="P74" s="96"/>
      <c r="Q74" s="176">
        <v>15</v>
      </c>
      <c r="R74" s="101"/>
      <c r="S74" s="179">
        <v>4.8399999999999999E-2</v>
      </c>
      <c r="T74" s="186"/>
      <c r="U74" s="179">
        <v>5.0500000000000003E-2</v>
      </c>
      <c r="V74" s="91"/>
      <c r="W74" s="179">
        <v>5.2499999999999998E-2</v>
      </c>
      <c r="X74" s="104"/>
      <c r="Y74" s="152"/>
      <c r="Z74" s="184"/>
      <c r="AA74" s="185" t="s">
        <v>116</v>
      </c>
      <c r="AB74" s="111"/>
      <c r="AC74" s="205">
        <f>M74</f>
        <v>0</v>
      </c>
      <c r="AD74" s="91"/>
      <c r="AE74" s="127"/>
      <c r="AF74" s="127"/>
      <c r="AG74" s="127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</row>
    <row r="75" spans="2:46" s="92" customFormat="1" ht="20.100000000000001" customHeight="1" x14ac:dyDescent="0.25">
      <c r="C75" s="176">
        <v>18</v>
      </c>
      <c r="D75" s="102"/>
      <c r="E75" s="179">
        <v>3.9899999999999998E-2</v>
      </c>
      <c r="F75" s="115"/>
      <c r="G75" s="179">
        <v>4.2000000000000003E-2</v>
      </c>
      <c r="H75" s="111"/>
      <c r="I75" s="179">
        <v>4.41E-2</v>
      </c>
      <c r="J75" s="111"/>
      <c r="K75" s="181" t="s">
        <v>126</v>
      </c>
      <c r="L75" s="111"/>
      <c r="M75" s="203"/>
      <c r="N75" s="111"/>
      <c r="O75" s="203"/>
      <c r="P75" s="91"/>
      <c r="Q75" s="176">
        <v>18</v>
      </c>
      <c r="R75" s="102"/>
      <c r="S75" s="179">
        <v>4.9000000000000002E-2</v>
      </c>
      <c r="T75" s="115"/>
      <c r="U75" s="179">
        <v>5.11E-2</v>
      </c>
      <c r="V75" s="111"/>
      <c r="W75" s="179">
        <v>5.3199999999999997E-2</v>
      </c>
      <c r="X75" s="111"/>
      <c r="Y75" s="111"/>
      <c r="Z75" s="111"/>
      <c r="AA75" s="181" t="s">
        <v>126</v>
      </c>
      <c r="AB75" s="111"/>
      <c r="AC75" s="203"/>
      <c r="AD75" s="111"/>
      <c r="AE75" s="127"/>
      <c r="AF75" s="127"/>
      <c r="AG75" s="127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</row>
    <row r="76" spans="2:46" s="92" customFormat="1" ht="20.100000000000001" customHeight="1" x14ac:dyDescent="0.25">
      <c r="C76" s="176">
        <v>20</v>
      </c>
      <c r="D76" s="101"/>
      <c r="E76" s="179">
        <v>3.9899999999999998E-2</v>
      </c>
      <c r="F76" s="113"/>
      <c r="G76" s="179">
        <v>4.2000000000000003E-2</v>
      </c>
      <c r="H76" s="111"/>
      <c r="I76" s="179">
        <v>4.41E-2</v>
      </c>
      <c r="J76" s="111"/>
      <c r="K76" s="181" t="s">
        <v>118</v>
      </c>
      <c r="L76" s="111"/>
      <c r="M76" s="204"/>
      <c r="N76" s="111"/>
      <c r="O76" s="204">
        <f>M76</f>
        <v>0</v>
      </c>
      <c r="P76" s="111"/>
      <c r="Q76" s="176">
        <v>20</v>
      </c>
      <c r="R76" s="101"/>
      <c r="S76" s="179">
        <v>4.9000000000000002E-2</v>
      </c>
      <c r="T76" s="113"/>
      <c r="U76" s="179">
        <v>5.11E-2</v>
      </c>
      <c r="V76" s="111"/>
      <c r="W76" s="179">
        <v>5.3199999999999997E-2</v>
      </c>
      <c r="X76" s="111"/>
      <c r="Y76" s="111"/>
      <c r="Z76" s="111"/>
      <c r="AA76" s="181" t="s">
        <v>118</v>
      </c>
      <c r="AB76" s="111"/>
      <c r="AC76" s="204">
        <f>M76</f>
        <v>0</v>
      </c>
      <c r="AD76" s="111"/>
      <c r="AE76" s="127"/>
      <c r="AF76" s="127"/>
      <c r="AG76" s="127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</row>
    <row r="77" spans="2:46" s="92" customFormat="1" ht="20.100000000000001" customHeight="1" thickBot="1" x14ac:dyDescent="0.3">
      <c r="C77" s="176">
        <v>25</v>
      </c>
      <c r="D77" s="101"/>
      <c r="E77" s="179">
        <v>4.0899999999999999E-2</v>
      </c>
      <c r="F77" s="113"/>
      <c r="G77" s="179">
        <v>4.2999999999999997E-2</v>
      </c>
      <c r="H77" s="111"/>
      <c r="I77" s="180">
        <v>4.5100000000000001E-2</v>
      </c>
      <c r="J77" s="111"/>
      <c r="K77" s="117"/>
      <c r="L77" s="111"/>
      <c r="M77" s="121"/>
      <c r="N77" s="112"/>
      <c r="O77" s="121"/>
      <c r="P77" s="111"/>
      <c r="Q77" s="176">
        <v>25</v>
      </c>
      <c r="R77" s="101"/>
      <c r="S77" s="179">
        <v>0.05</v>
      </c>
      <c r="T77" s="113"/>
      <c r="U77" s="179">
        <v>5.21E-2</v>
      </c>
      <c r="V77" s="111"/>
      <c r="W77" s="180">
        <v>5.4199999999999998E-2</v>
      </c>
      <c r="X77" s="111"/>
      <c r="Y77" s="111"/>
      <c r="Z77" s="111"/>
      <c r="AA77" s="117"/>
      <c r="AB77" s="112"/>
      <c r="AC77" s="121"/>
      <c r="AD77" s="111"/>
      <c r="AE77" s="91"/>
      <c r="AF77" s="91"/>
      <c r="AG77" s="91"/>
      <c r="AH77" s="113"/>
      <c r="AI77" s="135"/>
      <c r="AJ77" s="91"/>
      <c r="AK77" s="91"/>
      <c r="AL77" s="91"/>
      <c r="AM77" s="91"/>
      <c r="AN77" s="91"/>
      <c r="AO77" s="91"/>
      <c r="AP77" s="91"/>
      <c r="AQ77" s="91"/>
      <c r="AR77" s="91"/>
      <c r="AS77" s="91"/>
    </row>
    <row r="78" spans="2:46" s="92" customFormat="1" ht="20.100000000000001" customHeight="1" x14ac:dyDescent="0.25">
      <c r="C78" s="176">
        <v>30</v>
      </c>
      <c r="D78" s="101"/>
      <c r="E78" s="179">
        <v>4.2000000000000003E-2</v>
      </c>
      <c r="F78" s="113"/>
      <c r="G78" s="179">
        <v>4.41E-2</v>
      </c>
      <c r="H78" s="111"/>
      <c r="I78" s="249"/>
      <c r="J78" s="111"/>
      <c r="K78" s="181" t="s">
        <v>117</v>
      </c>
      <c r="L78" s="111"/>
      <c r="M78" s="156">
        <f>M75/12/100</f>
        <v>0</v>
      </c>
      <c r="N78" s="111"/>
      <c r="O78" s="156">
        <f>O75/12/100</f>
        <v>0</v>
      </c>
      <c r="P78" s="111"/>
      <c r="Q78" s="176">
        <v>30</v>
      </c>
      <c r="R78" s="101"/>
      <c r="S78" s="179">
        <v>5.2600000000000001E-2</v>
      </c>
      <c r="T78" s="113"/>
      <c r="U78" s="179">
        <v>5.4699999999999999E-2</v>
      </c>
      <c r="V78" s="111"/>
      <c r="W78" s="249"/>
      <c r="X78" s="111"/>
      <c r="Y78" s="111"/>
      <c r="Z78" s="111"/>
      <c r="AA78" s="181" t="s">
        <v>117</v>
      </c>
      <c r="AB78" s="111"/>
      <c r="AC78" s="156">
        <f>AC75/12/100</f>
        <v>0</v>
      </c>
      <c r="AD78" s="111"/>
      <c r="AE78" s="106"/>
      <c r="AF78" s="127"/>
      <c r="AG78" s="127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</row>
    <row r="79" spans="2:46" s="92" customFormat="1" ht="20.100000000000001" customHeight="1" x14ac:dyDescent="0.25">
      <c r="C79" s="176">
        <v>35</v>
      </c>
      <c r="D79" s="101"/>
      <c r="E79" s="179">
        <v>4.2999999999999997E-2</v>
      </c>
      <c r="F79" s="113"/>
      <c r="G79" s="179">
        <v>4.5100000000000001E-2</v>
      </c>
      <c r="H79" s="111"/>
      <c r="I79" s="249"/>
      <c r="J79" s="111"/>
      <c r="K79" s="187" t="s">
        <v>115</v>
      </c>
      <c r="L79" s="111"/>
      <c r="M79" s="206" t="e">
        <f>-PMT(M78,M76,M74)</f>
        <v>#NUM!</v>
      </c>
      <c r="N79" s="111"/>
      <c r="O79" s="206" t="e">
        <f>-PMT(O78,O76,O74)</f>
        <v>#NUM!</v>
      </c>
      <c r="P79" s="111"/>
      <c r="Q79" s="176">
        <v>35</v>
      </c>
      <c r="R79" s="101"/>
      <c r="S79" s="179">
        <v>5.2999999999999999E-2</v>
      </c>
      <c r="T79" s="113"/>
      <c r="U79" s="179">
        <v>5.5100000000000003E-2</v>
      </c>
      <c r="V79" s="111"/>
      <c r="W79" s="249"/>
      <c r="X79" s="111"/>
      <c r="Y79" s="111"/>
      <c r="Z79" s="111"/>
      <c r="AA79" s="187" t="s">
        <v>115</v>
      </c>
      <c r="AB79" s="111"/>
      <c r="AC79" s="206" t="e">
        <f>-PMT(AC78,AC76,AC74)</f>
        <v>#NUM!</v>
      </c>
      <c r="AD79" s="111"/>
      <c r="AE79" s="127"/>
      <c r="AF79" s="127"/>
      <c r="AG79" s="127"/>
      <c r="AH79" s="91"/>
      <c r="AI79" s="91"/>
      <c r="AJ79" s="91"/>
      <c r="AK79" s="91"/>
      <c r="AL79" s="91"/>
      <c r="AM79" s="91"/>
      <c r="AN79" s="91"/>
      <c r="AO79" s="91"/>
      <c r="AP79" s="91"/>
      <c r="AQ79" s="91"/>
      <c r="AR79" s="91"/>
      <c r="AS79" s="91"/>
    </row>
    <row r="80" spans="2:46" s="92" customFormat="1" ht="20.100000000000001" customHeight="1" thickBot="1" x14ac:dyDescent="0.3">
      <c r="C80" s="177">
        <v>40</v>
      </c>
      <c r="D80" s="101"/>
      <c r="E80" s="180">
        <v>4.41E-2</v>
      </c>
      <c r="F80" s="113"/>
      <c r="G80" s="180">
        <v>4.6100000000000002E-2</v>
      </c>
      <c r="H80" s="111"/>
      <c r="I80" s="249"/>
      <c r="J80" s="111"/>
      <c r="K80" s="111"/>
      <c r="L80" s="111"/>
      <c r="M80" s="111"/>
      <c r="N80" s="111"/>
      <c r="O80" s="111"/>
      <c r="P80" s="111"/>
      <c r="Q80" s="177">
        <v>40</v>
      </c>
      <c r="R80" s="101"/>
      <c r="S80" s="180">
        <v>5.3199999999999997E-2</v>
      </c>
      <c r="T80" s="113"/>
      <c r="U80" s="180">
        <v>5.5300000000000002E-2</v>
      </c>
      <c r="V80" s="111"/>
      <c r="W80" s="249"/>
      <c r="X80" s="111"/>
      <c r="Y80" s="111"/>
      <c r="Z80" s="111"/>
      <c r="AA80" s="111"/>
      <c r="AB80" s="111"/>
      <c r="AC80" s="111"/>
      <c r="AD80" s="111"/>
      <c r="AE80" s="127"/>
      <c r="AF80" s="127"/>
      <c r="AG80" s="127"/>
      <c r="AH80" s="91"/>
      <c r="AI80" s="91"/>
      <c r="AJ80" s="91"/>
      <c r="AK80" s="91"/>
      <c r="AL80" s="91"/>
      <c r="AM80" s="91"/>
      <c r="AN80" s="91"/>
      <c r="AO80" s="91"/>
      <c r="AP80" s="91"/>
      <c r="AQ80" s="91"/>
      <c r="AR80" s="91"/>
      <c r="AS80" s="91"/>
    </row>
    <row r="81" spans="3:45" s="92" customFormat="1" ht="20.100000000000001" customHeight="1" x14ac:dyDescent="0.25">
      <c r="C81" s="131"/>
      <c r="D81" s="101"/>
      <c r="E81" s="157"/>
      <c r="F81" s="113"/>
      <c r="G81" s="111"/>
      <c r="H81" s="113"/>
      <c r="I81" s="113"/>
      <c r="J81" s="113"/>
      <c r="K81" s="113"/>
      <c r="L81" s="113"/>
      <c r="M81" s="111"/>
      <c r="N81" s="111"/>
      <c r="O81" s="111"/>
      <c r="P81" s="111"/>
      <c r="Q81" s="135"/>
      <c r="R81" s="108"/>
      <c r="S81" s="127"/>
      <c r="T81" s="127"/>
      <c r="U81" s="127"/>
      <c r="V81" s="127"/>
      <c r="W81" s="127"/>
      <c r="X81" s="127"/>
      <c r="Y81" s="127"/>
      <c r="Z81" s="127"/>
      <c r="AA81" s="111"/>
      <c r="AB81" s="111"/>
      <c r="AC81" s="111"/>
      <c r="AD81" s="127"/>
      <c r="AE81" s="127"/>
      <c r="AF81" s="127"/>
      <c r="AG81" s="127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</row>
    <row r="82" spans="3:45" s="92" customFormat="1" ht="20.100000000000001" customHeight="1" x14ac:dyDescent="0.25">
      <c r="C82" s="143"/>
      <c r="D82" s="99"/>
      <c r="E82" s="114"/>
      <c r="F82" s="113"/>
      <c r="G82" s="114"/>
      <c r="H82" s="110"/>
      <c r="I82" s="110"/>
      <c r="J82" s="110"/>
      <c r="K82" s="110"/>
      <c r="L82" s="110"/>
      <c r="M82" s="113"/>
      <c r="N82" s="113"/>
      <c r="O82" s="113"/>
      <c r="P82" s="111"/>
      <c r="Q82" s="135"/>
      <c r="R82" s="108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</row>
    <row r="83" spans="3:45" s="92" customFormat="1" ht="20.100000000000001" hidden="1" customHeight="1" x14ac:dyDescent="0.25">
      <c r="C83" s="144"/>
      <c r="D83" s="98"/>
      <c r="E83" s="110"/>
      <c r="F83" s="171"/>
      <c r="G83" s="110"/>
      <c r="H83" s="91"/>
      <c r="I83" s="91"/>
      <c r="J83" s="91"/>
      <c r="K83" s="91"/>
      <c r="L83" s="91"/>
      <c r="M83" s="114"/>
      <c r="N83" s="114"/>
      <c r="O83" s="114"/>
      <c r="P83" s="111"/>
      <c r="Q83" s="138"/>
      <c r="R83" s="120"/>
      <c r="S83" s="232" t="s">
        <v>21</v>
      </c>
      <c r="T83" s="232"/>
      <c r="U83" s="233">
        <v>0</v>
      </c>
      <c r="V83" s="233"/>
      <c r="W83" s="234">
        <v>7500</v>
      </c>
      <c r="X83" s="235">
        <v>4.5600000000000002E-2</v>
      </c>
      <c r="Y83" s="234" t="str">
        <f t="shared" ref="Y83:Y88" si="6">IF($S$9+$W$22+$AC$9&gt;W83,"oui","non")</f>
        <v>non</v>
      </c>
      <c r="Z83" s="234">
        <f>IF(Y83="oui",W83,S9+W22+AC9)</f>
        <v>391.1</v>
      </c>
      <c r="AA83" s="236">
        <f t="shared" ref="AA83:AA89" si="7">Z83*X83</f>
        <v>17.834160000000001</v>
      </c>
      <c r="AB83" s="237"/>
      <c r="AC83" s="87"/>
      <c r="AD83" s="101"/>
      <c r="AE83" s="231">
        <v>0</v>
      </c>
      <c r="AF83" s="231">
        <v>391.1</v>
      </c>
      <c r="AG83" s="11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</row>
    <row r="84" spans="3:45" s="92" customFormat="1" ht="20.100000000000001" hidden="1" customHeight="1" x14ac:dyDescent="0.25">
      <c r="C84" s="144"/>
      <c r="D84" s="98"/>
      <c r="E84" s="110"/>
      <c r="F84" s="114"/>
      <c r="G84" s="91"/>
      <c r="H84" s="111"/>
      <c r="I84" s="111"/>
      <c r="J84" s="111"/>
      <c r="K84" s="111"/>
      <c r="L84" s="111"/>
      <c r="M84" s="110"/>
      <c r="N84" s="110"/>
      <c r="O84" s="110"/>
      <c r="P84" s="111"/>
      <c r="Q84" s="138"/>
      <c r="R84" s="120"/>
      <c r="S84" s="238" t="s">
        <v>22</v>
      </c>
      <c r="T84" s="238"/>
      <c r="U84" s="233">
        <v>7500</v>
      </c>
      <c r="V84" s="233"/>
      <c r="W84" s="234">
        <v>17500</v>
      </c>
      <c r="X84" s="235">
        <v>2.8500000000000001E-2</v>
      </c>
      <c r="Y84" s="234" t="str">
        <f t="shared" si="6"/>
        <v>non</v>
      </c>
      <c r="Z84" s="234">
        <f>IF(Y84="oui",W84-W83,'Tableau JMM'!$S$9+$W$22-Z83)</f>
        <v>-391.1</v>
      </c>
      <c r="AA84" s="236">
        <f t="shared" si="7"/>
        <v>-11.146350000000002</v>
      </c>
      <c r="AB84" s="237"/>
      <c r="AC84" s="87"/>
      <c r="AD84" s="91"/>
      <c r="AE84" s="231">
        <v>25000</v>
      </c>
      <c r="AF84" s="231">
        <v>391.1</v>
      </c>
      <c r="AG84" s="91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</row>
    <row r="85" spans="3:45" s="92" customFormat="1" ht="20.100000000000001" hidden="1" customHeight="1" x14ac:dyDescent="0.25">
      <c r="C85" s="144"/>
      <c r="D85" s="100"/>
      <c r="E85" s="145"/>
      <c r="F85" s="114"/>
      <c r="G85" s="111"/>
      <c r="H85" s="111"/>
      <c r="I85" s="111"/>
      <c r="J85" s="111"/>
      <c r="K85" s="111"/>
      <c r="L85" s="111"/>
      <c r="M85" s="91"/>
      <c r="N85" s="91"/>
      <c r="O85" s="91"/>
      <c r="P85" s="111"/>
      <c r="Q85" s="138"/>
      <c r="R85" s="120"/>
      <c r="S85" s="239"/>
      <c r="T85" s="239"/>
      <c r="U85" s="233">
        <v>17500</v>
      </c>
      <c r="V85" s="233"/>
      <c r="W85" s="234">
        <v>30000</v>
      </c>
      <c r="X85" s="235">
        <v>2.2800000000000001E-2</v>
      </c>
      <c r="Y85" s="234" t="str">
        <f t="shared" si="6"/>
        <v>non</v>
      </c>
      <c r="Z85" s="234">
        <f>IF(Y85="oui",W85-W84,'Tableau JMM'!$S$9+$W$22-Z84-Z83)</f>
        <v>0</v>
      </c>
      <c r="AA85" s="236">
        <f t="shared" si="7"/>
        <v>0</v>
      </c>
      <c r="AB85" s="237"/>
      <c r="AC85" s="87"/>
      <c r="AD85" s="103"/>
      <c r="AE85" s="231">
        <v>30000</v>
      </c>
      <c r="AF85" s="231">
        <v>423.98</v>
      </c>
      <c r="AG85" s="103"/>
      <c r="AH85" s="91"/>
      <c r="AI85" s="91"/>
      <c r="AJ85" s="91"/>
      <c r="AM85" s="91"/>
      <c r="AN85" s="91"/>
      <c r="AO85" s="91"/>
      <c r="AP85" s="91"/>
      <c r="AQ85" s="91"/>
      <c r="AR85" s="91"/>
      <c r="AS85" s="91"/>
    </row>
    <row r="86" spans="3:45" s="92" customFormat="1" ht="20.100000000000001" hidden="1" customHeight="1" x14ac:dyDescent="0.25">
      <c r="C86" s="131"/>
      <c r="D86" s="101"/>
      <c r="E86" s="145"/>
      <c r="F86" s="113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38"/>
      <c r="R86" s="120"/>
      <c r="S86" s="239"/>
      <c r="T86" s="239"/>
      <c r="U86" s="233">
        <v>30000</v>
      </c>
      <c r="V86" s="233"/>
      <c r="W86" s="234">
        <v>45495</v>
      </c>
      <c r="X86" s="235">
        <v>1.7100000000000001E-2</v>
      </c>
      <c r="Y86" s="234" t="str">
        <f t="shared" si="6"/>
        <v>non</v>
      </c>
      <c r="Z86" s="234">
        <f>IF(Y86="oui",W86-W85,'Tableau JMM'!$S$9+$S$22-Z85-Z84-Z83)</f>
        <v>0</v>
      </c>
      <c r="AA86" s="236">
        <f t="shared" si="7"/>
        <v>0</v>
      </c>
      <c r="AB86" s="237"/>
      <c r="AC86" s="87"/>
      <c r="AD86" s="91"/>
      <c r="AE86" s="231">
        <v>40000</v>
      </c>
      <c r="AF86" s="231">
        <v>431.08</v>
      </c>
      <c r="AG86" s="91"/>
      <c r="AH86" s="91"/>
      <c r="AI86" s="91"/>
      <c r="AJ86" s="91"/>
      <c r="AM86" s="91"/>
      <c r="AN86" s="91"/>
      <c r="AO86" s="91"/>
      <c r="AP86" s="91"/>
      <c r="AQ86" s="91"/>
      <c r="AR86" s="91"/>
      <c r="AS86" s="91"/>
    </row>
    <row r="87" spans="3:45" s="92" customFormat="1" ht="20.100000000000001" hidden="1" customHeight="1" x14ac:dyDescent="0.25">
      <c r="C87" s="131"/>
      <c r="D87" s="101"/>
      <c r="E87" s="145"/>
      <c r="F87" s="113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38"/>
      <c r="R87" s="120"/>
      <c r="S87" s="239"/>
      <c r="T87" s="239"/>
      <c r="U87" s="233">
        <v>45495</v>
      </c>
      <c r="V87" s="233"/>
      <c r="W87" s="234">
        <v>64095</v>
      </c>
      <c r="X87" s="235">
        <v>1.14E-2</v>
      </c>
      <c r="Y87" s="234" t="str">
        <f t="shared" si="6"/>
        <v>non</v>
      </c>
      <c r="Z87" s="234">
        <f>IF(Y87="oui",W87-W86,'Tableau JMM'!$S$9+$W$22-Z86-Z85-Z84-Z83)</f>
        <v>0</v>
      </c>
      <c r="AA87" s="236">
        <f t="shared" si="7"/>
        <v>0</v>
      </c>
      <c r="AB87" s="237"/>
      <c r="AC87" s="87"/>
      <c r="AD87" s="127"/>
      <c r="AE87" s="231">
        <v>50000</v>
      </c>
      <c r="AF87" s="231">
        <v>453.29</v>
      </c>
      <c r="AG87" s="127"/>
      <c r="AH87" s="91"/>
      <c r="AI87" s="91"/>
      <c r="AJ87" s="91"/>
      <c r="AM87" s="91"/>
      <c r="AN87" s="91"/>
      <c r="AO87" s="91"/>
      <c r="AP87" s="91"/>
      <c r="AQ87" s="91"/>
      <c r="AR87" s="91"/>
      <c r="AS87" s="91"/>
    </row>
    <row r="88" spans="3:45" s="92" customFormat="1" ht="20.100000000000001" hidden="1" customHeight="1" x14ac:dyDescent="0.25">
      <c r="C88" s="131"/>
      <c r="D88" s="101"/>
      <c r="E88" s="145"/>
      <c r="F88" s="113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38"/>
      <c r="R88" s="120"/>
      <c r="S88" s="239"/>
      <c r="T88" s="239"/>
      <c r="U88" s="233">
        <v>64095</v>
      </c>
      <c r="V88" s="233"/>
      <c r="W88" s="234">
        <v>250095</v>
      </c>
      <c r="X88" s="235">
        <v>5.7000000000000002E-3</v>
      </c>
      <c r="Y88" s="234" t="str">
        <f t="shared" si="6"/>
        <v>non</v>
      </c>
      <c r="Z88" s="234">
        <f>IF(Y88="oui",W88-W87,'Tableau JMM'!$S$9+$W$22-Z87-Z86-Z85-Z84-Z83)</f>
        <v>0</v>
      </c>
      <c r="AA88" s="236">
        <f t="shared" si="7"/>
        <v>0</v>
      </c>
      <c r="AB88" s="237"/>
      <c r="AC88" s="87"/>
      <c r="AD88" s="127"/>
      <c r="AE88" s="231">
        <v>60000</v>
      </c>
      <c r="AF88" s="231">
        <v>464.69</v>
      </c>
      <c r="AG88" s="127"/>
      <c r="AH88" s="91"/>
      <c r="AI88" s="91"/>
      <c r="AJ88" s="91"/>
      <c r="AM88" s="91"/>
      <c r="AN88" s="91"/>
      <c r="AO88" s="91"/>
      <c r="AP88" s="91"/>
      <c r="AQ88" s="91"/>
      <c r="AR88" s="91"/>
      <c r="AS88" s="91"/>
    </row>
    <row r="89" spans="3:45" s="92" customFormat="1" ht="20.100000000000001" hidden="1" customHeight="1" x14ac:dyDescent="0.25">
      <c r="C89" s="131"/>
      <c r="D89" s="101"/>
      <c r="E89" s="157"/>
      <c r="F89" s="113"/>
      <c r="G89" s="111"/>
      <c r="H89" s="111"/>
      <c r="I89" s="111"/>
      <c r="J89" s="111"/>
      <c r="K89" s="111"/>
      <c r="L89" s="111"/>
      <c r="M89" s="111"/>
      <c r="N89" s="111"/>
      <c r="O89" s="111"/>
      <c r="P89" s="112"/>
      <c r="Q89" s="138"/>
      <c r="R89" s="120"/>
      <c r="S89" s="239"/>
      <c r="T89" s="239"/>
      <c r="U89" s="233">
        <v>250095</v>
      </c>
      <c r="V89" s="233"/>
      <c r="W89" s="234"/>
      <c r="X89" s="235">
        <v>5.6999999999999998E-4</v>
      </c>
      <c r="Y89" s="234" t="s">
        <v>8</v>
      </c>
      <c r="Z89" s="234">
        <f>IF(S9+W22+AC9&gt;=U89,S9+W22-AC9,0)</f>
        <v>0</v>
      </c>
      <c r="AA89" s="236">
        <f t="shared" si="7"/>
        <v>0</v>
      </c>
      <c r="AB89" s="237"/>
      <c r="AC89" s="87"/>
      <c r="AD89" s="127"/>
      <c r="AE89" s="231">
        <v>70000</v>
      </c>
      <c r="AF89" s="231">
        <v>472.58</v>
      </c>
      <c r="AG89" s="127"/>
      <c r="AH89" s="91"/>
      <c r="AI89" s="91"/>
      <c r="AJ89" s="91"/>
      <c r="AM89" s="91"/>
      <c r="AN89" s="91"/>
      <c r="AO89" s="91"/>
      <c r="AP89" s="91"/>
      <c r="AQ89" s="91"/>
      <c r="AR89" s="91"/>
      <c r="AS89" s="91"/>
    </row>
    <row r="90" spans="3:45" s="92" customFormat="1" ht="20.100000000000001" hidden="1" customHeight="1" x14ac:dyDescent="0.25">
      <c r="C90" s="131"/>
      <c r="D90" s="101"/>
      <c r="E90" s="157"/>
      <c r="F90" s="113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38"/>
      <c r="R90" s="120"/>
      <c r="S90" s="239"/>
      <c r="T90" s="239"/>
      <c r="U90" s="240"/>
      <c r="V90" s="240"/>
      <c r="W90" s="240"/>
      <c r="X90" s="239"/>
      <c r="Y90" s="239"/>
      <c r="Z90" s="239"/>
      <c r="AA90" s="239"/>
      <c r="AB90" s="237"/>
      <c r="AC90" s="87"/>
      <c r="AD90" s="127"/>
      <c r="AE90" s="231">
        <v>80000</v>
      </c>
      <c r="AF90" s="231">
        <v>496.1</v>
      </c>
      <c r="AG90" s="127"/>
      <c r="AH90" s="91"/>
      <c r="AI90" s="91"/>
      <c r="AJ90" s="91"/>
      <c r="AM90" s="91"/>
      <c r="AN90" s="91"/>
      <c r="AO90" s="91"/>
      <c r="AP90" s="91"/>
      <c r="AQ90" s="91"/>
      <c r="AR90" s="91"/>
      <c r="AS90" s="91"/>
    </row>
    <row r="91" spans="3:45" s="92" customFormat="1" ht="20.100000000000001" hidden="1" customHeight="1" x14ac:dyDescent="0.25">
      <c r="C91" s="131"/>
      <c r="D91" s="100"/>
      <c r="E91" s="157"/>
      <c r="F91" s="115"/>
      <c r="G91" s="111"/>
      <c r="H91" s="112"/>
      <c r="I91" s="112"/>
      <c r="J91" s="112"/>
      <c r="K91" s="112"/>
      <c r="L91" s="112"/>
      <c r="M91" s="111"/>
      <c r="N91" s="111"/>
      <c r="O91" s="111"/>
      <c r="P91" s="111"/>
      <c r="Q91" s="138"/>
      <c r="R91" s="120"/>
      <c r="S91" s="241" t="s">
        <v>23</v>
      </c>
      <c r="T91" s="241"/>
      <c r="U91" s="233">
        <v>0</v>
      </c>
      <c r="V91" s="233"/>
      <c r="W91" s="234">
        <v>7500</v>
      </c>
      <c r="X91" s="235">
        <v>1.7100000000000001E-2</v>
      </c>
      <c r="Y91" s="234" t="str">
        <f t="shared" ref="Y91:Y96" si="8">IF($S$9+$W$22+$AC$9&gt;W91,"oui","non")</f>
        <v>non</v>
      </c>
      <c r="Z91" s="234">
        <f>IF(Y91="oui",W91,S9+W22+AC9)</f>
        <v>391.1</v>
      </c>
      <c r="AA91" s="236">
        <f t="shared" ref="AA91:AA97" si="9">Z91*X91</f>
        <v>6.6878100000000007</v>
      </c>
      <c r="AB91" s="237"/>
      <c r="AC91" s="87"/>
      <c r="AD91" s="127"/>
      <c r="AE91" s="231">
        <v>90000</v>
      </c>
      <c r="AF91" s="231">
        <v>501.8</v>
      </c>
      <c r="AG91" s="127"/>
      <c r="AH91" s="91"/>
      <c r="AI91" s="91"/>
      <c r="AJ91" s="91"/>
      <c r="AM91" s="91"/>
      <c r="AN91" s="91"/>
      <c r="AO91" s="91"/>
      <c r="AP91" s="91"/>
      <c r="AQ91" s="91"/>
      <c r="AR91" s="91"/>
      <c r="AS91" s="91"/>
    </row>
    <row r="92" spans="3:45" s="92" customFormat="1" ht="20.100000000000001" hidden="1" customHeight="1" x14ac:dyDescent="0.25">
      <c r="D92" s="102"/>
      <c r="E92" s="115"/>
      <c r="F92" s="113"/>
      <c r="G92" s="112"/>
      <c r="H92" s="111"/>
      <c r="I92" s="111"/>
      <c r="J92" s="111"/>
      <c r="K92" s="111"/>
      <c r="L92" s="111"/>
      <c r="M92" s="111"/>
      <c r="N92" s="111"/>
      <c r="O92" s="111"/>
      <c r="P92" s="111"/>
      <c r="Q92" s="138"/>
      <c r="R92" s="120"/>
      <c r="S92" s="242" t="s">
        <v>24</v>
      </c>
      <c r="T92" s="242"/>
      <c r="U92" s="233">
        <v>7500</v>
      </c>
      <c r="V92" s="233"/>
      <c r="W92" s="234">
        <v>17500</v>
      </c>
      <c r="X92" s="235">
        <v>1.3679999999999999E-2</v>
      </c>
      <c r="Y92" s="234" t="str">
        <f t="shared" si="8"/>
        <v>non</v>
      </c>
      <c r="Z92" s="234">
        <f>IF(Y92="oui",W92-W91,($S$9+$W$22+$AC$9)-Z91)</f>
        <v>0</v>
      </c>
      <c r="AA92" s="236">
        <f t="shared" si="9"/>
        <v>0</v>
      </c>
      <c r="AB92" s="237"/>
      <c r="AC92" s="87"/>
      <c r="AD92" s="127"/>
      <c r="AE92" s="231">
        <v>100000</v>
      </c>
      <c r="AF92" s="231">
        <v>525.33000000000004</v>
      </c>
      <c r="AG92" s="127"/>
      <c r="AH92" s="91"/>
      <c r="AI92" s="91"/>
      <c r="AJ92" s="91"/>
      <c r="AM92" s="91"/>
      <c r="AN92" s="91"/>
      <c r="AO92" s="91"/>
      <c r="AP92" s="91"/>
      <c r="AQ92" s="91"/>
      <c r="AR92" s="91"/>
      <c r="AS92" s="91"/>
    </row>
    <row r="93" spans="3:45" s="92" customFormat="1" ht="20.100000000000001" hidden="1" customHeight="1" x14ac:dyDescent="0.25">
      <c r="C93" s="135"/>
      <c r="D93" s="101"/>
      <c r="E93" s="145"/>
      <c r="F93" s="113"/>
      <c r="G93" s="111"/>
      <c r="H93" s="111"/>
      <c r="I93" s="111"/>
      <c r="J93" s="111"/>
      <c r="K93" s="111"/>
      <c r="L93" s="111"/>
      <c r="M93" s="112"/>
      <c r="N93" s="112"/>
      <c r="O93" s="112"/>
      <c r="P93" s="111"/>
      <c r="Q93" s="138"/>
      <c r="R93" s="120"/>
      <c r="S93" s="242"/>
      <c r="T93" s="242"/>
      <c r="U93" s="233">
        <v>17500</v>
      </c>
      <c r="V93" s="233"/>
      <c r="W93" s="234">
        <v>30000</v>
      </c>
      <c r="X93" s="235">
        <v>9.1199999999999996E-3</v>
      </c>
      <c r="Y93" s="234" t="str">
        <f t="shared" si="8"/>
        <v>non</v>
      </c>
      <c r="Z93" s="234">
        <f>IF(Y93="oui",W93-W92,($S$9+$W$22+$AC$9)-Z92-Z91)</f>
        <v>0</v>
      </c>
      <c r="AA93" s="236">
        <f t="shared" si="9"/>
        <v>0</v>
      </c>
      <c r="AB93" s="237"/>
      <c r="AC93" s="87"/>
      <c r="AD93" s="127"/>
      <c r="AE93" s="231">
        <v>125000</v>
      </c>
      <c r="AF93" s="231">
        <v>557.97</v>
      </c>
      <c r="AG93" s="127"/>
      <c r="AH93" s="91"/>
      <c r="AI93" s="91"/>
      <c r="AJ93" s="91"/>
      <c r="AM93" s="91"/>
      <c r="AN93" s="91"/>
      <c r="AO93" s="91"/>
      <c r="AP93" s="91"/>
      <c r="AQ93" s="91"/>
      <c r="AR93" s="91"/>
      <c r="AS93" s="91"/>
    </row>
    <row r="94" spans="3:45" s="92" customFormat="1" ht="20.100000000000001" hidden="1" customHeight="1" x14ac:dyDescent="0.25">
      <c r="C94" s="131"/>
      <c r="D94" s="101"/>
      <c r="E94" s="145"/>
      <c r="F94" s="113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38"/>
      <c r="R94" s="120"/>
      <c r="S94" s="237"/>
      <c r="T94" s="237"/>
      <c r="U94" s="233">
        <v>30000</v>
      </c>
      <c r="V94" s="233"/>
      <c r="W94" s="234">
        <v>45495</v>
      </c>
      <c r="X94" s="235">
        <v>6.8399999999999997E-3</v>
      </c>
      <c r="Y94" s="234" t="str">
        <f t="shared" si="8"/>
        <v>non</v>
      </c>
      <c r="Z94" s="234">
        <f>IF(Y94="oui",W94-W93,($S$9+$W$22+$AC$9)-Z93-Z92-Z91)</f>
        <v>0</v>
      </c>
      <c r="AA94" s="236">
        <f t="shared" si="9"/>
        <v>0</v>
      </c>
      <c r="AB94" s="237"/>
      <c r="AC94" s="87"/>
      <c r="AD94" s="91"/>
      <c r="AE94" s="231">
        <v>150000</v>
      </c>
      <c r="AF94" s="231">
        <v>589.47</v>
      </c>
      <c r="AG94" s="91"/>
      <c r="AH94" s="91"/>
      <c r="AI94" s="91"/>
      <c r="AJ94" s="91"/>
      <c r="AM94" s="91"/>
      <c r="AN94" s="91"/>
      <c r="AO94" s="91"/>
      <c r="AP94" s="91"/>
      <c r="AQ94" s="91"/>
      <c r="AR94" s="91"/>
      <c r="AS94" s="91"/>
    </row>
    <row r="95" spans="3:45" s="92" customFormat="1" ht="20.100000000000001" hidden="1" customHeight="1" x14ac:dyDescent="0.25">
      <c r="C95" s="131"/>
      <c r="D95" s="101"/>
      <c r="E95" s="157"/>
      <c r="F95" s="113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38"/>
      <c r="R95" s="120"/>
      <c r="S95" s="237"/>
      <c r="T95" s="237"/>
      <c r="U95" s="233">
        <v>45495</v>
      </c>
      <c r="V95" s="233"/>
      <c r="W95" s="234">
        <v>64095</v>
      </c>
      <c r="X95" s="235">
        <v>4.5599999999999998E-3</v>
      </c>
      <c r="Y95" s="234" t="str">
        <f t="shared" si="8"/>
        <v>non</v>
      </c>
      <c r="Z95" s="234">
        <f>IF(Y95="oui",W95-W94,($S$9+$W$22+$AC$9)-Z94-Z93-Z92-Z91)</f>
        <v>0</v>
      </c>
      <c r="AA95" s="236">
        <f t="shared" si="9"/>
        <v>0</v>
      </c>
      <c r="AB95" s="237"/>
      <c r="AC95" s="87"/>
      <c r="AD95" s="127"/>
      <c r="AE95" s="231">
        <v>175000</v>
      </c>
      <c r="AF95" s="231">
        <v>623.26</v>
      </c>
      <c r="AG95" s="127"/>
      <c r="AH95" s="91"/>
      <c r="AI95" s="91"/>
      <c r="AJ95" s="91"/>
      <c r="AM95" s="91"/>
      <c r="AN95" s="91"/>
      <c r="AO95" s="91"/>
      <c r="AP95" s="91"/>
      <c r="AQ95" s="91"/>
      <c r="AR95" s="91"/>
      <c r="AS95" s="91"/>
    </row>
    <row r="96" spans="3:45" s="93" customFormat="1" ht="20.100000000000001" hidden="1" customHeight="1" x14ac:dyDescent="0.25">
      <c r="C96" s="131"/>
      <c r="D96" s="101"/>
      <c r="E96" s="157"/>
      <c r="F96" s="113"/>
      <c r="G96" s="111"/>
      <c r="H96" s="111"/>
      <c r="I96" s="111"/>
      <c r="J96" s="111"/>
      <c r="K96" s="111"/>
      <c r="L96" s="111"/>
      <c r="M96" s="111"/>
      <c r="N96" s="111"/>
      <c r="O96" s="111"/>
      <c r="P96" s="112"/>
      <c r="Q96" s="96"/>
      <c r="R96" s="120"/>
      <c r="S96" s="237"/>
      <c r="T96" s="237"/>
      <c r="U96" s="233">
        <v>64095</v>
      </c>
      <c r="V96" s="233"/>
      <c r="W96" s="234">
        <v>250095</v>
      </c>
      <c r="X96" s="235">
        <v>2.2799999999999999E-3</v>
      </c>
      <c r="Y96" s="234" t="str">
        <f t="shared" si="8"/>
        <v>non</v>
      </c>
      <c r="Z96" s="234">
        <f>IF(Y96="oui",W96-W95,($S$9+$W$22+$AC$9)-Z95-Z94-Z93-Z92-Z91)</f>
        <v>0</v>
      </c>
      <c r="AA96" s="236">
        <f t="shared" si="9"/>
        <v>0</v>
      </c>
      <c r="AB96" s="237"/>
      <c r="AC96" s="87"/>
      <c r="AD96" s="127"/>
      <c r="AE96" s="231">
        <v>200000</v>
      </c>
      <c r="AF96" s="231">
        <v>654.66999999999996</v>
      </c>
      <c r="AG96" s="127"/>
      <c r="AH96" s="91"/>
      <c r="AI96" s="91"/>
      <c r="AJ96" s="92"/>
      <c r="AM96" s="92"/>
      <c r="AN96" s="92"/>
      <c r="AO96" s="92"/>
      <c r="AP96" s="92"/>
      <c r="AQ96" s="92"/>
      <c r="AR96" s="92"/>
      <c r="AS96" s="92"/>
    </row>
    <row r="97" spans="3:45" s="93" customFormat="1" ht="20.100000000000001" hidden="1" customHeight="1" x14ac:dyDescent="0.25">
      <c r="C97" s="131"/>
      <c r="D97" s="101"/>
      <c r="E97" s="157"/>
      <c r="F97" s="113"/>
      <c r="G97" s="111"/>
      <c r="H97" s="111"/>
      <c r="I97" s="111"/>
      <c r="J97" s="111"/>
      <c r="K97" s="111"/>
      <c r="L97" s="111"/>
      <c r="M97" s="111"/>
      <c r="N97" s="111"/>
      <c r="O97" s="111"/>
      <c r="P97" s="115"/>
      <c r="Q97" s="96"/>
      <c r="R97" s="120"/>
      <c r="S97" s="237"/>
      <c r="T97" s="237"/>
      <c r="U97" s="233">
        <v>250095</v>
      </c>
      <c r="V97" s="233"/>
      <c r="W97" s="234"/>
      <c r="X97" s="243">
        <v>4.5600000000000003E-4</v>
      </c>
      <c r="Y97" s="234" t="s">
        <v>8</v>
      </c>
      <c r="Z97" s="234">
        <f>IF((S9+W22+AC9)&gt;=U97,(S9+W22+AC9)-W96,0)</f>
        <v>0</v>
      </c>
      <c r="AA97" s="236">
        <f t="shared" si="9"/>
        <v>0</v>
      </c>
      <c r="AB97" s="237"/>
      <c r="AC97" s="87"/>
      <c r="AD97" s="127"/>
      <c r="AE97" s="231">
        <v>250000</v>
      </c>
      <c r="AF97" s="231">
        <v>697.66</v>
      </c>
      <c r="AG97" s="127"/>
      <c r="AH97" s="91"/>
      <c r="AI97" s="91"/>
      <c r="AJ97" s="92"/>
      <c r="AM97" s="92"/>
      <c r="AN97" s="92"/>
      <c r="AO97" s="92"/>
      <c r="AP97" s="92"/>
      <c r="AQ97" s="92"/>
      <c r="AR97" s="92"/>
      <c r="AS97" s="92"/>
    </row>
    <row r="98" spans="3:45" s="93" customFormat="1" ht="20.100000000000001" hidden="1" customHeight="1" x14ac:dyDescent="0.25">
      <c r="C98" s="131"/>
      <c r="D98" s="101"/>
      <c r="E98" s="157"/>
      <c r="F98" s="112"/>
      <c r="G98" s="111"/>
      <c r="H98" s="111"/>
      <c r="I98" s="111"/>
      <c r="J98" s="111"/>
      <c r="K98" s="111"/>
      <c r="L98" s="111"/>
      <c r="M98" s="111"/>
      <c r="N98" s="111"/>
      <c r="O98" s="111"/>
      <c r="P98" s="115"/>
      <c r="Q98" s="138"/>
      <c r="R98" s="120"/>
      <c r="S98" s="237"/>
      <c r="T98" s="237"/>
      <c r="U98" s="244"/>
      <c r="V98" s="244"/>
      <c r="W98" s="244"/>
      <c r="X98" s="244"/>
      <c r="Y98" s="244"/>
      <c r="Z98" s="244"/>
      <c r="AA98" s="244"/>
      <c r="AB98" s="237"/>
      <c r="AC98" s="87"/>
      <c r="AD98" s="127"/>
      <c r="AE98" s="231">
        <v>500000</v>
      </c>
      <c r="AF98" s="231">
        <v>952.92</v>
      </c>
      <c r="AG98" s="127"/>
      <c r="AH98" s="91"/>
      <c r="AI98" s="91"/>
      <c r="AJ98" s="92"/>
      <c r="AM98" s="92"/>
      <c r="AN98" s="92"/>
      <c r="AO98" s="92"/>
      <c r="AP98" s="92"/>
      <c r="AQ98" s="92"/>
      <c r="AR98" s="92"/>
      <c r="AS98" s="92"/>
    </row>
    <row r="99" spans="3:45" s="93" customFormat="1" ht="20.100000000000001" hidden="1" customHeight="1" x14ac:dyDescent="0.25">
      <c r="C99" s="131"/>
      <c r="D99" s="101"/>
      <c r="E99" s="157"/>
      <c r="F99" s="112"/>
      <c r="G99" s="111"/>
      <c r="H99" s="112"/>
      <c r="I99" s="112"/>
      <c r="J99" s="112"/>
      <c r="K99" s="112"/>
      <c r="L99" s="112"/>
      <c r="M99" s="111"/>
      <c r="N99" s="111"/>
      <c r="O99" s="111"/>
      <c r="P99" s="115"/>
      <c r="Q99" s="138"/>
      <c r="R99" s="120"/>
      <c r="S99" s="241" t="s">
        <v>23</v>
      </c>
      <c r="T99" s="241"/>
      <c r="U99" s="233">
        <v>0</v>
      </c>
      <c r="V99" s="233"/>
      <c r="W99" s="234">
        <v>7500</v>
      </c>
      <c r="X99" s="245">
        <v>3.9899999999999996E-3</v>
      </c>
      <c r="Y99" s="234" t="str">
        <f>IF(AC4&gt;W99,"oui","non")</f>
        <v>non</v>
      </c>
      <c r="Z99" s="234">
        <f>IF(Y99="oui",W99,AC4)</f>
        <v>0</v>
      </c>
      <c r="AA99" s="236">
        <f t="shared" ref="AA99:AA105" si="10">Z99*X99</f>
        <v>0</v>
      </c>
      <c r="AB99" s="246"/>
      <c r="AC99" s="87"/>
      <c r="AD99" s="127"/>
      <c r="AE99" s="231">
        <v>1000000000</v>
      </c>
      <c r="AF99" s="231">
        <v>952.92</v>
      </c>
      <c r="AG99" s="127"/>
      <c r="AH99" s="91"/>
      <c r="AI99" s="91"/>
      <c r="AJ99" s="92"/>
      <c r="AM99" s="92"/>
      <c r="AN99" s="92"/>
      <c r="AO99" s="92"/>
      <c r="AP99" s="92"/>
      <c r="AQ99" s="92"/>
      <c r="AR99" s="92"/>
      <c r="AS99" s="92"/>
    </row>
    <row r="100" spans="3:45" s="93" customFormat="1" ht="20.100000000000001" hidden="1" customHeight="1" x14ac:dyDescent="0.25">
      <c r="C100" s="92"/>
      <c r="D100" s="102"/>
      <c r="E100" s="112"/>
      <c r="F100" s="112"/>
      <c r="G100" s="112"/>
      <c r="H100" s="111"/>
      <c r="I100" s="111"/>
      <c r="J100" s="111"/>
      <c r="K100" s="111"/>
      <c r="L100" s="111"/>
      <c r="M100" s="111"/>
      <c r="N100" s="111"/>
      <c r="O100" s="111"/>
      <c r="P100" s="115"/>
      <c r="Q100" s="138"/>
      <c r="R100" s="120"/>
      <c r="S100" s="242" t="s">
        <v>39</v>
      </c>
      <c r="T100" s="242"/>
      <c r="U100" s="233">
        <v>7500</v>
      </c>
      <c r="V100" s="233"/>
      <c r="W100" s="234">
        <v>17500</v>
      </c>
      <c r="X100" s="245">
        <v>3.4199999999999999E-3</v>
      </c>
      <c r="Y100" s="234" t="str">
        <f>IF(AC4&gt;W100,"oui","non")</f>
        <v>non</v>
      </c>
      <c r="Z100" s="234">
        <f>IF(Y100="oui",W100-W99,(AC4)-Z99)</f>
        <v>0</v>
      </c>
      <c r="AA100" s="236">
        <f t="shared" si="10"/>
        <v>0</v>
      </c>
      <c r="AB100" s="246"/>
      <c r="AC100" s="87"/>
      <c r="AD100" s="127"/>
      <c r="AE100" s="127"/>
      <c r="AF100" s="127"/>
      <c r="AG100" s="127"/>
      <c r="AH100" s="91"/>
      <c r="AI100" s="91"/>
      <c r="AJ100" s="92"/>
      <c r="AM100" s="92"/>
      <c r="AN100" s="92"/>
      <c r="AO100" s="92"/>
      <c r="AP100" s="92"/>
      <c r="AQ100" s="92"/>
      <c r="AR100" s="92"/>
      <c r="AS100" s="92"/>
    </row>
    <row r="101" spans="3:45" s="93" customFormat="1" ht="20.100000000000001" hidden="1" customHeight="1" x14ac:dyDescent="0.25">
      <c r="C101" s="135"/>
      <c r="D101" s="101"/>
      <c r="E101" s="157"/>
      <c r="F101" s="121"/>
      <c r="G101" s="111"/>
      <c r="H101" s="111"/>
      <c r="I101" s="111"/>
      <c r="J101" s="111"/>
      <c r="K101" s="111"/>
      <c r="L101" s="111"/>
      <c r="M101" s="112"/>
      <c r="N101" s="112"/>
      <c r="O101" s="112"/>
      <c r="P101" s="105"/>
      <c r="Q101" s="138"/>
      <c r="R101" s="120"/>
      <c r="S101" s="242"/>
      <c r="T101" s="242"/>
      <c r="U101" s="233">
        <v>17500</v>
      </c>
      <c r="V101" s="233"/>
      <c r="W101" s="234">
        <v>30000</v>
      </c>
      <c r="X101" s="245">
        <v>2.2799999999999999E-3</v>
      </c>
      <c r="Y101" s="234" t="str">
        <f>IF(AC4&gt;W101,"oui","non")</f>
        <v>non</v>
      </c>
      <c r="Z101" s="234">
        <f>IF(Y101="oui",W101-W100,(AC4)-Z100-Z99)</f>
        <v>0</v>
      </c>
      <c r="AA101" s="236">
        <f t="shared" si="10"/>
        <v>0</v>
      </c>
      <c r="AB101" s="246"/>
      <c r="AC101" s="87"/>
      <c r="AD101" s="127"/>
      <c r="AE101" s="127"/>
      <c r="AF101" s="127"/>
      <c r="AG101" s="127"/>
      <c r="AH101" s="91"/>
      <c r="AI101" s="91"/>
      <c r="AJ101" s="92"/>
      <c r="AM101" s="92"/>
      <c r="AN101" s="92"/>
      <c r="AO101" s="92"/>
      <c r="AP101" s="92"/>
      <c r="AQ101" s="92"/>
      <c r="AR101" s="92"/>
      <c r="AS101" s="92"/>
    </row>
    <row r="102" spans="3:45" s="93" customFormat="1" ht="20.100000000000001" hidden="1" customHeight="1" x14ac:dyDescent="0.25">
      <c r="C102" s="131"/>
      <c r="D102" s="101"/>
      <c r="E102" s="157"/>
      <c r="F102" s="172"/>
      <c r="G102" s="111"/>
      <c r="H102" s="111"/>
      <c r="I102" s="111"/>
      <c r="J102" s="111"/>
      <c r="K102" s="111"/>
      <c r="L102" s="111"/>
      <c r="M102" s="111"/>
      <c r="N102" s="111"/>
      <c r="O102" s="111"/>
      <c r="Q102" s="138"/>
      <c r="R102" s="120"/>
      <c r="S102" s="237"/>
      <c r="T102" s="237"/>
      <c r="U102" s="233">
        <v>30000</v>
      </c>
      <c r="V102" s="233"/>
      <c r="W102" s="234">
        <v>45495</v>
      </c>
      <c r="X102" s="245">
        <v>1.7099999999999999E-3</v>
      </c>
      <c r="Y102" s="234" t="str">
        <f>IF(AC4&gt;W102,"oui","non")</f>
        <v>non</v>
      </c>
      <c r="Z102" s="234">
        <f>IF(Y102="oui",W102-W101,(AC4)-Z101-Z100-Z99)</f>
        <v>0</v>
      </c>
      <c r="AA102" s="236">
        <f t="shared" si="10"/>
        <v>0</v>
      </c>
      <c r="AB102" s="246"/>
      <c r="AC102" s="87"/>
      <c r="AD102" s="91"/>
      <c r="AE102" s="91"/>
      <c r="AF102" s="91"/>
      <c r="AG102" s="91"/>
      <c r="AH102" s="91"/>
      <c r="AI102" s="91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</row>
    <row r="103" spans="3:45" s="93" customFormat="1" ht="20.100000000000001" hidden="1" customHeight="1" x14ac:dyDescent="0.25">
      <c r="C103" s="131"/>
      <c r="D103" s="101"/>
      <c r="E103" s="157"/>
      <c r="F103" s="113"/>
      <c r="G103" s="111"/>
      <c r="H103" s="111"/>
      <c r="I103" s="111"/>
      <c r="J103" s="111"/>
      <c r="K103" s="111"/>
      <c r="L103" s="111"/>
      <c r="M103" s="111"/>
      <c r="N103" s="111"/>
      <c r="O103" s="111"/>
      <c r="Q103" s="138"/>
      <c r="R103" s="120"/>
      <c r="S103" s="237"/>
      <c r="T103" s="237"/>
      <c r="U103" s="233">
        <v>45495</v>
      </c>
      <c r="V103" s="233"/>
      <c r="W103" s="234">
        <v>64095</v>
      </c>
      <c r="X103" s="245">
        <v>1.14E-3</v>
      </c>
      <c r="Y103" s="234" t="str">
        <f>IF(AC4&gt;W103,"oui","non")</f>
        <v>non</v>
      </c>
      <c r="Z103" s="234">
        <f>IF(Y103="oui",W103-W102,(AC4)-Z102-Z101-Z100-Z99)</f>
        <v>0</v>
      </c>
      <c r="AA103" s="236">
        <f t="shared" si="10"/>
        <v>0</v>
      </c>
      <c r="AB103" s="246"/>
      <c r="AC103" s="87"/>
      <c r="AD103" s="127"/>
      <c r="AE103" s="127"/>
      <c r="AF103" s="127"/>
      <c r="AG103" s="127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</row>
    <row r="104" spans="3:45" s="93" customFormat="1" ht="20.100000000000001" hidden="1" customHeight="1" x14ac:dyDescent="0.25">
      <c r="C104" s="131"/>
      <c r="D104" s="101"/>
      <c r="E104" s="157"/>
      <c r="F104" s="113"/>
      <c r="G104" s="111"/>
      <c r="H104" s="111"/>
      <c r="I104" s="111"/>
      <c r="J104" s="111"/>
      <c r="K104" s="111"/>
      <c r="L104" s="111"/>
      <c r="M104" s="111"/>
      <c r="N104" s="111"/>
      <c r="O104" s="111"/>
      <c r="Q104" s="138"/>
      <c r="R104" s="120"/>
      <c r="S104" s="237"/>
      <c r="T104" s="237"/>
      <c r="U104" s="233">
        <v>64095</v>
      </c>
      <c r="V104" s="233"/>
      <c r="W104" s="234">
        <v>250095</v>
      </c>
      <c r="X104" s="245">
        <v>5.6999999999999998E-4</v>
      </c>
      <c r="Y104" s="234" t="str">
        <f>IF(AC4&gt;W104,"oui","non")</f>
        <v>non</v>
      </c>
      <c r="Z104" s="234">
        <f>IF(Y104="oui",W104-W103,(AC4)-Z103-Z102-Z101-Z100-Z99)</f>
        <v>0</v>
      </c>
      <c r="AA104" s="236">
        <f t="shared" si="10"/>
        <v>0</v>
      </c>
      <c r="AB104" s="246"/>
      <c r="AC104" s="87"/>
      <c r="AD104" s="127"/>
      <c r="AE104" s="127"/>
      <c r="AF104" s="127"/>
      <c r="AG104" s="127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</row>
    <row r="105" spans="3:45" s="93" customFormat="1" ht="20.100000000000001" hidden="1" customHeight="1" x14ac:dyDescent="0.25">
      <c r="C105" s="131"/>
      <c r="D105" s="101"/>
      <c r="E105" s="157"/>
      <c r="F105" s="113"/>
      <c r="G105" s="111"/>
      <c r="H105" s="111"/>
      <c r="I105" s="111"/>
      <c r="J105" s="111"/>
      <c r="K105" s="111"/>
      <c r="L105" s="111"/>
      <c r="M105" s="111"/>
      <c r="N105" s="111"/>
      <c r="O105" s="111"/>
      <c r="Q105" s="138"/>
      <c r="R105" s="120"/>
      <c r="S105" s="237"/>
      <c r="T105" s="237"/>
      <c r="U105" s="233">
        <v>250095</v>
      </c>
      <c r="V105" s="233"/>
      <c r="W105" s="234"/>
      <c r="X105" s="245">
        <v>2.3000000000000001E-4</v>
      </c>
      <c r="Y105" s="234" t="s">
        <v>8</v>
      </c>
      <c r="Z105" s="234">
        <f>IF((G59+S22+AC9)&gt;=U105,(AC9)-W104,0)</f>
        <v>0</v>
      </c>
      <c r="AA105" s="236">
        <f t="shared" si="10"/>
        <v>0</v>
      </c>
      <c r="AB105" s="246"/>
      <c r="AC105" s="87"/>
      <c r="AD105" s="127"/>
      <c r="AE105" s="127"/>
      <c r="AF105" s="127"/>
      <c r="AG105" s="127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</row>
    <row r="106" spans="3:45" s="93" customFormat="1" ht="20.100000000000001" hidden="1" customHeight="1" x14ac:dyDescent="0.25">
      <c r="C106" s="131"/>
      <c r="D106" s="101"/>
      <c r="E106" s="157"/>
      <c r="F106" s="113"/>
      <c r="G106" s="111"/>
      <c r="H106" s="112"/>
      <c r="I106" s="112"/>
      <c r="J106" s="112"/>
      <c r="K106" s="112"/>
      <c r="L106" s="112"/>
      <c r="M106" s="111"/>
      <c r="N106" s="111"/>
      <c r="O106" s="111"/>
      <c r="Q106" s="135"/>
      <c r="R106" s="108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</row>
    <row r="107" spans="3:45" s="93" customFormat="1" ht="20.100000000000001" hidden="1" customHeight="1" x14ac:dyDescent="0.25">
      <c r="C107" s="102"/>
      <c r="D107" s="102"/>
      <c r="E107" s="112"/>
      <c r="F107" s="113"/>
      <c r="G107" s="112"/>
      <c r="H107" s="115"/>
      <c r="I107" s="115"/>
      <c r="J107" s="115"/>
      <c r="K107" s="115"/>
      <c r="L107" s="115"/>
      <c r="M107" s="111"/>
      <c r="N107" s="111"/>
      <c r="O107" s="111"/>
      <c r="Q107" s="135"/>
      <c r="R107" s="108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</row>
    <row r="108" spans="3:45" s="93" customFormat="1" ht="20.100000000000001" hidden="1" customHeight="1" x14ac:dyDescent="0.25">
      <c r="C108" s="102"/>
      <c r="D108" s="102"/>
      <c r="E108" s="112"/>
      <c r="G108" s="112"/>
      <c r="H108" s="115"/>
      <c r="I108" s="115"/>
      <c r="J108" s="115"/>
      <c r="K108" s="115"/>
      <c r="L108" s="115"/>
      <c r="M108" s="112"/>
      <c r="N108" s="112"/>
      <c r="O108" s="112"/>
      <c r="Q108" s="135"/>
      <c r="R108" s="108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</row>
    <row r="109" spans="3:45" s="94" customFormat="1" ht="20.100000000000001" customHeight="1" x14ac:dyDescent="0.25">
      <c r="C109" s="102"/>
      <c r="D109" s="102"/>
      <c r="E109" s="112"/>
      <c r="F109" s="93"/>
      <c r="G109" s="112"/>
      <c r="H109" s="115"/>
      <c r="I109" s="115"/>
      <c r="J109" s="115"/>
      <c r="K109" s="115"/>
      <c r="L109" s="115"/>
      <c r="M109" s="115"/>
      <c r="N109" s="115"/>
      <c r="O109" s="115"/>
      <c r="P109" s="93"/>
      <c r="Q109" s="112"/>
      <c r="R109" s="112"/>
      <c r="S109" s="112"/>
      <c r="T109" s="114"/>
      <c r="U109" s="173"/>
      <c r="V109" s="112"/>
      <c r="W109" s="112"/>
      <c r="X109" s="115"/>
      <c r="Y109" s="112"/>
      <c r="Z109" s="112"/>
      <c r="AA109" s="127"/>
      <c r="AB109" s="127"/>
      <c r="AC109" s="127"/>
      <c r="AD109" s="91"/>
      <c r="AE109" s="91"/>
      <c r="AF109" s="91"/>
      <c r="AG109" s="91"/>
      <c r="AH109" s="92"/>
      <c r="AI109" s="92"/>
      <c r="AJ109" s="136"/>
      <c r="AK109" s="136"/>
      <c r="AL109" s="136"/>
      <c r="AM109" s="136"/>
      <c r="AN109" s="136"/>
      <c r="AO109" s="136"/>
      <c r="AP109" s="136"/>
      <c r="AQ109" s="136"/>
      <c r="AR109" s="136"/>
      <c r="AS109" s="136"/>
    </row>
    <row r="110" spans="3:45" s="94" customFormat="1" ht="20.100000000000001" customHeight="1" x14ac:dyDescent="0.25">
      <c r="C110" s="102"/>
      <c r="D110" s="102"/>
      <c r="E110" s="112"/>
      <c r="F110" s="93"/>
      <c r="G110" s="112"/>
      <c r="H110" s="115"/>
      <c r="I110" s="115"/>
      <c r="J110" s="115"/>
      <c r="K110" s="115"/>
      <c r="L110" s="115"/>
      <c r="M110" s="115"/>
      <c r="N110" s="115"/>
      <c r="O110" s="115"/>
      <c r="Q110" s="112"/>
      <c r="R110" s="112"/>
      <c r="S110" s="112"/>
      <c r="T110" s="114"/>
      <c r="U110" s="173"/>
      <c r="V110" s="112"/>
      <c r="W110" s="112"/>
      <c r="X110" s="115"/>
      <c r="Y110" s="112"/>
      <c r="Z110" s="112"/>
      <c r="AA110" s="127"/>
      <c r="AB110" s="127"/>
      <c r="AC110" s="127"/>
      <c r="AD110" s="92"/>
      <c r="AE110" s="92"/>
      <c r="AF110" s="92"/>
      <c r="AG110" s="92"/>
      <c r="AH110" s="92"/>
      <c r="AI110" s="92"/>
      <c r="AJ110" s="136"/>
      <c r="AK110" s="136"/>
      <c r="AL110" s="136"/>
      <c r="AM110" s="136"/>
      <c r="AN110" s="136"/>
      <c r="AO110" s="136"/>
      <c r="AP110" s="136"/>
      <c r="AQ110" s="136"/>
      <c r="AR110" s="136"/>
      <c r="AS110" s="136"/>
    </row>
    <row r="111" spans="3:45" s="94" customFormat="1" ht="20.100000000000001" customHeight="1" x14ac:dyDescent="0.25">
      <c r="C111" s="102"/>
      <c r="D111" s="102"/>
      <c r="E111" s="112"/>
      <c r="F111" s="93"/>
      <c r="G111" s="112"/>
      <c r="H111" s="105"/>
      <c r="I111" s="105"/>
      <c r="J111" s="105"/>
      <c r="K111" s="105"/>
      <c r="L111" s="105"/>
      <c r="M111" s="115"/>
      <c r="N111" s="115"/>
      <c r="O111" s="115"/>
      <c r="Q111" s="112"/>
      <c r="R111" s="112"/>
      <c r="S111" s="112"/>
      <c r="T111" s="114"/>
      <c r="U111" s="173"/>
      <c r="V111" s="112"/>
      <c r="W111" s="112"/>
      <c r="X111" s="115"/>
      <c r="Y111" s="112"/>
      <c r="Z111" s="112"/>
      <c r="AA111" s="112"/>
      <c r="AB111" s="92"/>
      <c r="AC111" s="91"/>
      <c r="AD111" s="92"/>
      <c r="AE111" s="92"/>
      <c r="AF111" s="92"/>
      <c r="AG111" s="92"/>
      <c r="AH111" s="92"/>
      <c r="AI111" s="92"/>
      <c r="AJ111" s="136"/>
      <c r="AK111" s="136"/>
      <c r="AL111" s="136"/>
      <c r="AM111" s="136"/>
      <c r="AN111" s="136"/>
      <c r="AO111" s="136"/>
      <c r="AP111" s="136"/>
      <c r="AQ111" s="136"/>
      <c r="AR111" s="136"/>
      <c r="AS111" s="136"/>
    </row>
    <row r="112" spans="3:45" s="87" customFormat="1" ht="20.100000000000001" customHeight="1" x14ac:dyDescent="0.25"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115"/>
      <c r="N112" s="115"/>
      <c r="O112" s="115"/>
      <c r="P112" s="94"/>
      <c r="Q112" s="112"/>
      <c r="R112" s="112"/>
      <c r="S112" s="112"/>
      <c r="T112" s="114"/>
      <c r="U112" s="173"/>
      <c r="V112" s="112"/>
      <c r="W112" s="112"/>
      <c r="X112" s="115"/>
      <c r="Y112" s="112"/>
      <c r="Z112" s="112"/>
      <c r="AA112" s="112"/>
      <c r="AB112" s="93"/>
      <c r="AC112" s="92"/>
      <c r="AD112" s="92"/>
      <c r="AE112" s="92"/>
      <c r="AF112" s="92"/>
      <c r="AG112" s="92"/>
      <c r="AH112" s="92"/>
      <c r="AI112" s="92"/>
      <c r="AJ112" s="136"/>
      <c r="AK112" s="136"/>
      <c r="AL112" s="136"/>
      <c r="AM112" s="136"/>
      <c r="AN112" s="136"/>
      <c r="AO112" s="136"/>
      <c r="AP112" s="136"/>
      <c r="AQ112" s="136"/>
      <c r="AR112" s="136"/>
      <c r="AS112" s="136"/>
    </row>
    <row r="113" spans="3:45" s="87" customFormat="1" ht="20.100000000000001" customHeight="1" x14ac:dyDescent="0.25"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105"/>
      <c r="N113" s="105"/>
      <c r="O113" s="105"/>
      <c r="P113" s="94"/>
      <c r="Q113" s="112"/>
      <c r="R113" s="112"/>
      <c r="S113" s="112"/>
      <c r="T113" s="114"/>
      <c r="U113" s="173"/>
      <c r="V113" s="112"/>
      <c r="W113" s="112"/>
      <c r="X113" s="115"/>
      <c r="Y113" s="112"/>
      <c r="Z113" s="112"/>
      <c r="AA113" s="112"/>
      <c r="AB113" s="93"/>
      <c r="AC113" s="92"/>
      <c r="AD113" s="92"/>
      <c r="AE113" s="92"/>
      <c r="AF113" s="92"/>
      <c r="AG113" s="92"/>
      <c r="AH113" s="92"/>
      <c r="AI113" s="92"/>
      <c r="AJ113" s="136"/>
      <c r="AK113" s="136"/>
      <c r="AL113" s="136"/>
      <c r="AM113" s="136"/>
      <c r="AN113" s="136"/>
      <c r="AO113" s="136"/>
      <c r="AP113" s="136"/>
      <c r="AQ113" s="136"/>
      <c r="AR113" s="136"/>
      <c r="AS113" s="136"/>
    </row>
    <row r="114" spans="3:45" s="87" customFormat="1" ht="20.100000000000001" customHeight="1" x14ac:dyDescent="0.25"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93"/>
      <c r="R114" s="105"/>
      <c r="S114" s="93"/>
      <c r="T114" s="93"/>
      <c r="U114" s="93"/>
      <c r="V114" s="93"/>
      <c r="W114" s="93"/>
      <c r="X114" s="93"/>
      <c r="Y114" s="93"/>
      <c r="Z114" s="93"/>
      <c r="AA114" s="112"/>
      <c r="AB114" s="93"/>
      <c r="AC114" s="92"/>
      <c r="AD114" s="92"/>
      <c r="AE114" s="92"/>
      <c r="AF114" s="92"/>
      <c r="AG114" s="92"/>
      <c r="AH114" s="92"/>
      <c r="AI114" s="92"/>
      <c r="AJ114" s="136"/>
      <c r="AK114" s="136"/>
      <c r="AL114" s="136"/>
      <c r="AM114" s="136"/>
      <c r="AN114" s="136"/>
      <c r="AO114" s="136"/>
      <c r="AP114" s="136"/>
      <c r="AQ114" s="136"/>
      <c r="AR114" s="136"/>
      <c r="AS114" s="136"/>
    </row>
    <row r="115" spans="3:45" s="87" customFormat="1" ht="20.100000000000001" customHeight="1" x14ac:dyDescent="0.25"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93"/>
      <c r="R115" s="110"/>
      <c r="S115" s="93"/>
      <c r="T115" s="93"/>
      <c r="U115" s="93"/>
      <c r="V115" s="93"/>
      <c r="W115" s="93"/>
      <c r="X115" s="93"/>
      <c r="Y115" s="93"/>
      <c r="Z115" s="93"/>
      <c r="AA115" s="112"/>
      <c r="AB115" s="93"/>
      <c r="AC115" s="92"/>
      <c r="AD115" s="92"/>
      <c r="AE115" s="92"/>
      <c r="AF115" s="92"/>
      <c r="AG115" s="92"/>
      <c r="AH115" s="92"/>
      <c r="AI115" s="92"/>
      <c r="AJ115" s="136"/>
      <c r="AK115" s="136"/>
      <c r="AL115" s="136"/>
      <c r="AM115" s="136"/>
      <c r="AN115" s="136"/>
      <c r="AO115" s="136"/>
      <c r="AP115" s="136"/>
      <c r="AQ115" s="136"/>
      <c r="AR115" s="136"/>
      <c r="AS115" s="136"/>
    </row>
    <row r="116" spans="3:45" s="87" customFormat="1" ht="20.100000000000001" customHeight="1" x14ac:dyDescent="0.25"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93"/>
      <c r="R116" s="110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2"/>
      <c r="AD116" s="92"/>
      <c r="AE116" s="92"/>
      <c r="AF116" s="92"/>
      <c r="AG116" s="92"/>
      <c r="AH116" s="136"/>
      <c r="AI116" s="136"/>
      <c r="AJ116" s="136"/>
      <c r="AK116" s="136"/>
      <c r="AL116" s="136"/>
      <c r="AM116" s="136"/>
      <c r="AN116" s="136"/>
      <c r="AO116" s="136"/>
      <c r="AP116" s="136"/>
      <c r="AQ116" s="136"/>
      <c r="AR116" s="136"/>
      <c r="AS116" s="136"/>
    </row>
    <row r="117" spans="3:45" s="87" customFormat="1" ht="20.100000000000001" customHeight="1" x14ac:dyDescent="0.25"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93"/>
      <c r="R117" s="110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2"/>
      <c r="AD117" s="92"/>
      <c r="AE117" s="92"/>
      <c r="AF117" s="92"/>
      <c r="AG117" s="92"/>
      <c r="AH117" s="136"/>
      <c r="AI117" s="136"/>
      <c r="AJ117" s="136"/>
      <c r="AK117" s="136"/>
      <c r="AL117" s="136"/>
      <c r="AM117" s="136"/>
      <c r="AN117" s="136"/>
      <c r="AO117" s="136"/>
      <c r="AP117" s="136"/>
      <c r="AQ117" s="136"/>
      <c r="AR117" s="136"/>
      <c r="AS117" s="136"/>
    </row>
    <row r="118" spans="3:45" s="87" customFormat="1" ht="20.100000000000001" customHeight="1" x14ac:dyDescent="0.25"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93"/>
      <c r="R118" s="110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2"/>
      <c r="AD118" s="92"/>
      <c r="AE118" s="92"/>
      <c r="AF118" s="92"/>
      <c r="AG118" s="92"/>
      <c r="AH118" s="136"/>
      <c r="AI118" s="136"/>
      <c r="AJ118" s="136"/>
      <c r="AK118" s="136"/>
      <c r="AL118" s="136"/>
      <c r="AM118" s="136"/>
      <c r="AN118" s="136"/>
      <c r="AO118" s="136"/>
      <c r="AP118" s="136"/>
      <c r="AQ118" s="136"/>
      <c r="AR118" s="136"/>
      <c r="AS118" s="136"/>
    </row>
    <row r="119" spans="3:45" s="87" customFormat="1" ht="20.100000000000001" customHeight="1" x14ac:dyDescent="0.25"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93"/>
      <c r="R119" s="110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2"/>
      <c r="AD119" s="92"/>
      <c r="AE119" s="92"/>
      <c r="AF119" s="92"/>
      <c r="AG119" s="92"/>
      <c r="AH119" s="136"/>
      <c r="AI119" s="136"/>
      <c r="AJ119" s="136"/>
      <c r="AK119" s="136"/>
      <c r="AL119" s="136"/>
      <c r="AM119" s="136"/>
      <c r="AN119" s="136"/>
      <c r="AO119" s="136"/>
      <c r="AP119" s="136"/>
      <c r="AQ119" s="136"/>
      <c r="AR119" s="136"/>
      <c r="AS119" s="136"/>
    </row>
    <row r="120" spans="3:45" s="87" customFormat="1" ht="20.100000000000001" customHeight="1" x14ac:dyDescent="0.25"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3"/>
      <c r="N120" s="93"/>
      <c r="O120" s="93"/>
      <c r="P120" s="94"/>
      <c r="Q120" s="93"/>
      <c r="R120" s="110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2"/>
      <c r="AD120" s="92"/>
      <c r="AE120" s="92"/>
      <c r="AF120" s="92"/>
      <c r="AG120" s="92"/>
      <c r="AH120" s="136"/>
      <c r="AI120" s="136"/>
      <c r="AJ120" s="136"/>
      <c r="AK120" s="136"/>
      <c r="AL120" s="136"/>
      <c r="AM120" s="136"/>
      <c r="AN120" s="136"/>
      <c r="AO120" s="136"/>
      <c r="AP120" s="136"/>
      <c r="AQ120" s="136"/>
      <c r="AR120" s="136"/>
      <c r="AS120" s="136"/>
    </row>
    <row r="121" spans="3:45" s="87" customFormat="1" ht="20.100000000000001" customHeight="1" x14ac:dyDescent="0.25"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3"/>
      <c r="N121" s="93"/>
      <c r="O121" s="93"/>
      <c r="P121" s="94"/>
      <c r="Q121" s="93"/>
      <c r="R121" s="110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2"/>
      <c r="AD121" s="92"/>
      <c r="AE121" s="92"/>
      <c r="AF121" s="92"/>
      <c r="AG121" s="92"/>
      <c r="AH121" s="136"/>
      <c r="AI121" s="136"/>
      <c r="AJ121" s="136"/>
      <c r="AK121" s="136"/>
      <c r="AL121" s="136"/>
      <c r="AM121" s="136"/>
      <c r="AN121" s="136"/>
      <c r="AO121" s="136"/>
      <c r="AP121" s="136"/>
      <c r="AQ121" s="136"/>
      <c r="AR121" s="136"/>
      <c r="AS121" s="136"/>
    </row>
    <row r="122" spans="3:45" s="87" customFormat="1" ht="20.100000000000001" customHeight="1" x14ac:dyDescent="0.25"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123"/>
      <c r="S122" s="94"/>
      <c r="T122" s="94"/>
      <c r="U122" s="94"/>
      <c r="V122" s="94"/>
      <c r="W122" s="94"/>
      <c r="X122" s="94"/>
      <c r="Y122" s="94"/>
      <c r="Z122" s="94"/>
      <c r="AA122" s="93"/>
      <c r="AB122" s="93"/>
      <c r="AC122" s="92"/>
      <c r="AD122" s="136"/>
      <c r="AE122" s="136"/>
      <c r="AF122" s="136"/>
      <c r="AG122" s="136"/>
      <c r="AH122" s="136"/>
      <c r="AI122" s="136"/>
      <c r="AJ122" s="136"/>
      <c r="AK122" s="136"/>
      <c r="AL122" s="136"/>
      <c r="AM122" s="136"/>
      <c r="AN122" s="136"/>
      <c r="AO122" s="136"/>
      <c r="AP122" s="136"/>
      <c r="AQ122" s="136"/>
      <c r="AR122" s="136"/>
      <c r="AS122" s="136"/>
    </row>
    <row r="123" spans="3:45" s="87" customFormat="1" ht="20.100000000000001" customHeight="1" x14ac:dyDescent="0.25"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123"/>
      <c r="S123" s="94"/>
      <c r="T123" s="94"/>
      <c r="U123" s="94"/>
      <c r="V123" s="94"/>
      <c r="W123" s="94"/>
      <c r="X123" s="94"/>
      <c r="Y123" s="94"/>
      <c r="Z123" s="94"/>
      <c r="AA123" s="93"/>
      <c r="AB123" s="93"/>
      <c r="AC123" s="92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</row>
    <row r="124" spans="3:45" s="87" customFormat="1" ht="20.100000000000001" customHeight="1" x14ac:dyDescent="0.25"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123"/>
      <c r="S124" s="94"/>
      <c r="T124" s="94"/>
      <c r="U124" s="94"/>
      <c r="V124" s="94"/>
      <c r="W124" s="94"/>
      <c r="X124" s="94"/>
      <c r="Y124" s="94"/>
      <c r="Z124" s="94"/>
      <c r="AA124" s="94"/>
      <c r="AB124" s="94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</row>
    <row r="125" spans="3:45" s="87" customFormat="1" ht="20.100000000000001" customHeight="1" x14ac:dyDescent="0.25"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123"/>
      <c r="AA125" s="94"/>
      <c r="AB125" s="94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</row>
    <row r="126" spans="3:45" s="87" customFormat="1" ht="20.100000000000001" customHeight="1" x14ac:dyDescent="0.25"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123"/>
      <c r="AA126" s="94"/>
      <c r="AB126" s="94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</row>
    <row r="127" spans="3:45" s="87" customFormat="1" ht="20.100000000000001" customHeight="1" x14ac:dyDescent="0.25"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123"/>
      <c r="AC127" s="136"/>
      <c r="AD127" s="136"/>
      <c r="AE127" s="136"/>
      <c r="AF127" s="136"/>
      <c r="AG127" s="136"/>
      <c r="AH127" s="136"/>
      <c r="AI127" s="136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</row>
    <row r="128" spans="3:45" s="87" customFormat="1" ht="20.100000000000001" customHeight="1" x14ac:dyDescent="0.25"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123"/>
      <c r="AC128" s="136"/>
      <c r="AD128" s="136"/>
      <c r="AE128" s="136"/>
      <c r="AF128" s="136"/>
      <c r="AG128" s="136"/>
      <c r="AH128" s="136"/>
      <c r="AI128" s="136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</row>
    <row r="129" spans="3:45" s="87" customFormat="1" ht="20.100000000000001" customHeight="1" x14ac:dyDescent="0.25"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123"/>
      <c r="AC129" s="136"/>
      <c r="AD129" s="136"/>
      <c r="AE129" s="136"/>
      <c r="AF129" s="136"/>
      <c r="AG129" s="136"/>
      <c r="AH129" s="136"/>
      <c r="AI129" s="136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</row>
    <row r="130" spans="3:45" s="87" customFormat="1" ht="20.100000000000001" customHeight="1" x14ac:dyDescent="0.25"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123"/>
      <c r="AC130" s="136"/>
      <c r="AD130" s="136"/>
      <c r="AE130" s="136"/>
      <c r="AF130" s="136"/>
      <c r="AG130" s="136"/>
      <c r="AH130" s="136"/>
      <c r="AI130" s="136"/>
      <c r="AJ130" s="94"/>
      <c r="AK130" s="94"/>
      <c r="AL130" s="94"/>
      <c r="AM130" s="94"/>
      <c r="AN130" s="94"/>
      <c r="AO130" s="94"/>
      <c r="AP130" s="94"/>
      <c r="AQ130" s="94"/>
      <c r="AR130" s="94"/>
      <c r="AS130" s="94"/>
    </row>
    <row r="131" spans="3:45" s="87" customFormat="1" ht="20.100000000000001" customHeight="1" x14ac:dyDescent="0.25"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123"/>
      <c r="AC131" s="136"/>
      <c r="AD131" s="136"/>
      <c r="AE131" s="136"/>
      <c r="AF131" s="136"/>
      <c r="AG131" s="136"/>
      <c r="AH131" s="136"/>
      <c r="AI131" s="136"/>
      <c r="AJ131" s="94"/>
      <c r="AK131" s="94"/>
      <c r="AL131" s="94"/>
      <c r="AM131" s="94"/>
      <c r="AN131" s="94"/>
      <c r="AO131" s="94"/>
      <c r="AP131" s="94"/>
      <c r="AQ131" s="94"/>
      <c r="AR131" s="94"/>
      <c r="AS131" s="94"/>
    </row>
    <row r="132" spans="3:45" s="87" customFormat="1" ht="20.100000000000001" customHeight="1" x14ac:dyDescent="0.25"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123"/>
      <c r="AC132" s="136"/>
      <c r="AD132" s="136"/>
      <c r="AE132" s="136"/>
      <c r="AF132" s="136"/>
      <c r="AG132" s="136"/>
      <c r="AH132" s="136"/>
      <c r="AI132" s="136"/>
      <c r="AJ132" s="94"/>
      <c r="AK132" s="94"/>
      <c r="AL132" s="94"/>
      <c r="AM132" s="94"/>
      <c r="AN132" s="94"/>
      <c r="AO132" s="94"/>
      <c r="AP132" s="94"/>
      <c r="AQ132" s="94"/>
      <c r="AR132" s="94"/>
      <c r="AS132" s="94"/>
    </row>
    <row r="133" spans="3:45" s="87" customFormat="1" ht="20.100000000000001" customHeight="1" x14ac:dyDescent="0.25"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123"/>
      <c r="AC133" s="136"/>
      <c r="AD133" s="136"/>
      <c r="AE133" s="136"/>
      <c r="AF133" s="136"/>
      <c r="AG133" s="136"/>
      <c r="AH133" s="136"/>
      <c r="AI133" s="136"/>
      <c r="AJ133" s="94"/>
      <c r="AK133" s="94"/>
      <c r="AL133" s="94"/>
      <c r="AM133" s="94"/>
      <c r="AN133" s="94"/>
      <c r="AO133" s="94"/>
      <c r="AP133" s="94"/>
      <c r="AQ133" s="94"/>
      <c r="AR133" s="94"/>
      <c r="AS133" s="94"/>
    </row>
    <row r="134" spans="3:45" s="87" customFormat="1" ht="20.100000000000001" customHeight="1" x14ac:dyDescent="0.25"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123"/>
      <c r="AC134" s="136"/>
      <c r="AD134" s="136"/>
      <c r="AE134" s="136"/>
      <c r="AF134" s="136"/>
      <c r="AG134" s="136"/>
      <c r="AH134" s="94"/>
      <c r="AI134" s="94"/>
      <c r="AJ134" s="94"/>
      <c r="AK134" s="94"/>
      <c r="AL134" s="94"/>
      <c r="AM134" s="94"/>
      <c r="AN134" s="94"/>
      <c r="AO134" s="94"/>
      <c r="AP134" s="94"/>
      <c r="AQ134" s="94"/>
      <c r="AR134" s="94"/>
      <c r="AS134" s="94"/>
    </row>
    <row r="135" spans="3:45" s="87" customFormat="1" ht="20.100000000000001" customHeight="1" x14ac:dyDescent="0.25"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123"/>
      <c r="AC135" s="136"/>
      <c r="AD135" s="136"/>
      <c r="AE135" s="136"/>
      <c r="AF135" s="136"/>
      <c r="AG135" s="136"/>
      <c r="AH135" s="94"/>
      <c r="AI135" s="94"/>
      <c r="AJ135" s="94"/>
      <c r="AK135" s="94"/>
      <c r="AL135" s="94"/>
      <c r="AM135" s="94"/>
      <c r="AN135" s="94"/>
      <c r="AO135" s="94"/>
      <c r="AP135" s="94"/>
      <c r="AQ135" s="94"/>
      <c r="AR135" s="94"/>
      <c r="AS135" s="94"/>
    </row>
    <row r="136" spans="3:45" s="87" customFormat="1" ht="20.100000000000001" customHeight="1" x14ac:dyDescent="0.25"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123"/>
      <c r="AC136" s="136"/>
      <c r="AD136" s="136"/>
      <c r="AE136" s="136"/>
      <c r="AF136" s="136"/>
      <c r="AG136" s="136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</row>
    <row r="137" spans="3:45" s="87" customFormat="1" ht="20.100000000000001" customHeight="1" x14ac:dyDescent="0.25"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123"/>
      <c r="AC137" s="136"/>
      <c r="AD137" s="136"/>
      <c r="AE137" s="136"/>
      <c r="AF137" s="136"/>
      <c r="AG137" s="136"/>
      <c r="AH137" s="94"/>
      <c r="AI137" s="94"/>
      <c r="AJ137" s="94"/>
      <c r="AK137" s="94"/>
      <c r="AL137" s="94"/>
      <c r="AM137" s="94"/>
      <c r="AN137" s="94"/>
      <c r="AO137" s="94"/>
      <c r="AP137" s="94"/>
      <c r="AQ137" s="94"/>
      <c r="AR137" s="94"/>
      <c r="AS137" s="94"/>
    </row>
    <row r="138" spans="3:45" s="87" customFormat="1" ht="20.100000000000001" customHeight="1" x14ac:dyDescent="0.25"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123"/>
      <c r="AC138" s="136"/>
      <c r="AD138" s="136"/>
      <c r="AE138" s="136"/>
      <c r="AF138" s="136"/>
      <c r="AG138" s="136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4"/>
      <c r="AS138" s="94"/>
    </row>
    <row r="139" spans="3:45" s="87" customFormat="1" ht="20.100000000000001" customHeight="1" x14ac:dyDescent="0.25"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123"/>
      <c r="AC139" s="136"/>
      <c r="AD139" s="136"/>
      <c r="AE139" s="136"/>
      <c r="AF139" s="136"/>
      <c r="AG139" s="136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</row>
    <row r="140" spans="3:45" s="87" customFormat="1" ht="20.100000000000001" customHeight="1" x14ac:dyDescent="0.25"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123"/>
      <c r="AC140" s="136"/>
      <c r="AD140" s="136"/>
      <c r="AE140" s="136"/>
      <c r="AF140" s="136"/>
      <c r="AG140" s="136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4"/>
      <c r="AS140" s="94"/>
    </row>
    <row r="141" spans="3:45" s="87" customFormat="1" ht="20.100000000000001" customHeight="1" x14ac:dyDescent="0.25"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123"/>
      <c r="AC141" s="136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4"/>
      <c r="AS141" s="94"/>
    </row>
    <row r="142" spans="3:45" s="87" customFormat="1" ht="20.100000000000001" customHeight="1" x14ac:dyDescent="0.25">
      <c r="C142" s="94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123"/>
      <c r="S142" s="94"/>
      <c r="T142" s="94"/>
      <c r="U142" s="94"/>
      <c r="V142" s="94"/>
      <c r="W142" s="94"/>
      <c r="X142" s="94"/>
      <c r="Y142" s="94"/>
      <c r="Z142" s="94"/>
      <c r="AC142" s="136"/>
      <c r="AD142" s="94"/>
      <c r="AE142" s="94"/>
      <c r="AF142" s="94"/>
      <c r="AG142" s="94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4"/>
      <c r="AS142" s="94"/>
    </row>
    <row r="143" spans="3:45" s="87" customFormat="1" ht="20.100000000000001" customHeight="1" x14ac:dyDescent="0.25"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123"/>
      <c r="S143" s="94"/>
      <c r="T143" s="94"/>
      <c r="U143" s="94"/>
      <c r="V143" s="94"/>
      <c r="W143" s="94"/>
      <c r="X143" s="94"/>
      <c r="Y143" s="94"/>
      <c r="Z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4"/>
      <c r="AS143" s="94"/>
    </row>
    <row r="144" spans="3:45" s="87" customFormat="1" ht="20.100000000000001" customHeight="1" x14ac:dyDescent="0.25"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123"/>
      <c r="S144" s="94"/>
      <c r="T144" s="94"/>
      <c r="U144" s="94"/>
      <c r="V144" s="94"/>
      <c r="W144" s="94"/>
      <c r="X144" s="94"/>
      <c r="Y144" s="94"/>
      <c r="Z144" s="94"/>
      <c r="AA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4"/>
      <c r="AS144" s="94"/>
    </row>
    <row r="145" spans="3:45" s="87" customFormat="1" ht="20.100000000000001" customHeight="1" x14ac:dyDescent="0.25"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123"/>
      <c r="S145" s="94"/>
      <c r="T145" s="94"/>
      <c r="U145" s="94"/>
      <c r="V145" s="94"/>
      <c r="W145" s="94"/>
      <c r="X145" s="94"/>
      <c r="Y145" s="94"/>
      <c r="Z145" s="94"/>
      <c r="AA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4"/>
      <c r="AS145" s="94"/>
    </row>
    <row r="146" spans="3:45" s="87" customFormat="1" ht="20.100000000000001" customHeight="1" x14ac:dyDescent="0.25"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123"/>
      <c r="S146" s="94"/>
      <c r="T146" s="94"/>
      <c r="U146" s="94"/>
      <c r="V146" s="94"/>
      <c r="W146" s="94"/>
      <c r="X146" s="94"/>
      <c r="Y146" s="94"/>
      <c r="Z146" s="94"/>
      <c r="AA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4"/>
      <c r="AS146" s="94"/>
    </row>
    <row r="147" spans="3:45" s="87" customFormat="1" ht="20.100000000000001" customHeight="1" x14ac:dyDescent="0.25"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123"/>
      <c r="S147" s="94"/>
      <c r="T147" s="94"/>
      <c r="U147" s="94"/>
      <c r="V147" s="94"/>
      <c r="W147" s="94"/>
      <c r="X147" s="94"/>
      <c r="Y147" s="94"/>
      <c r="Z147" s="94"/>
      <c r="AA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4"/>
      <c r="AS147" s="94"/>
    </row>
    <row r="148" spans="3:45" s="87" customFormat="1" ht="20.100000000000001" customHeight="1" x14ac:dyDescent="0.25"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123"/>
      <c r="S148" s="94"/>
      <c r="T148" s="94"/>
      <c r="U148" s="94"/>
      <c r="V148" s="94"/>
      <c r="W148" s="94"/>
      <c r="X148" s="94"/>
      <c r="Y148" s="94"/>
      <c r="Z148" s="94"/>
      <c r="AA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4"/>
      <c r="AS148" s="94"/>
    </row>
    <row r="149" spans="3:45" s="87" customFormat="1" ht="20.100000000000001" customHeight="1" x14ac:dyDescent="0.25">
      <c r="C149" s="94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Q149" s="94"/>
      <c r="R149" s="123"/>
      <c r="S149" s="94"/>
      <c r="T149" s="94"/>
      <c r="U149" s="94"/>
      <c r="V149" s="94"/>
      <c r="W149" s="94"/>
      <c r="X149" s="94"/>
      <c r="Y149" s="94"/>
      <c r="Z149" s="94"/>
      <c r="AA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4"/>
      <c r="AS149" s="94"/>
    </row>
    <row r="150" spans="3:45" s="87" customFormat="1" ht="20.100000000000001" customHeight="1" x14ac:dyDescent="0.25"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Q150" s="94"/>
      <c r="R150" s="123"/>
      <c r="S150" s="94"/>
      <c r="T150" s="94"/>
      <c r="U150" s="94"/>
      <c r="V150" s="94"/>
      <c r="W150" s="94"/>
      <c r="X150" s="94"/>
      <c r="Y150" s="94"/>
      <c r="Z150" s="94"/>
      <c r="AA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4"/>
      <c r="AS150" s="94"/>
    </row>
    <row r="151" spans="3:45" s="87" customFormat="1" ht="20.100000000000001" customHeight="1" x14ac:dyDescent="0.25">
      <c r="C151" s="94"/>
      <c r="D151" s="94"/>
      <c r="E151" s="94"/>
      <c r="G151" s="94"/>
      <c r="H151" s="94"/>
      <c r="I151" s="94"/>
      <c r="J151" s="94"/>
      <c r="K151" s="94"/>
      <c r="L151" s="94"/>
      <c r="M151" s="94"/>
      <c r="N151" s="94"/>
      <c r="O151" s="94"/>
      <c r="Q151" s="94"/>
      <c r="R151" s="123"/>
      <c r="S151" s="94"/>
      <c r="T151" s="94"/>
      <c r="U151" s="94"/>
      <c r="V151" s="94"/>
      <c r="W151" s="94"/>
      <c r="X151" s="94"/>
      <c r="Y151" s="94"/>
      <c r="Z151" s="94"/>
      <c r="AA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4"/>
      <c r="AS151" s="94"/>
    </row>
    <row r="152" spans="3:45" s="87" customFormat="1" ht="20.100000000000001" customHeight="1" x14ac:dyDescent="0.25">
      <c r="C152" s="94"/>
      <c r="D152" s="94"/>
      <c r="E152" s="94"/>
      <c r="G152" s="94"/>
      <c r="H152" s="94"/>
      <c r="I152" s="94"/>
      <c r="J152" s="94"/>
      <c r="K152" s="94"/>
      <c r="L152" s="94"/>
      <c r="M152" s="94"/>
      <c r="N152" s="94"/>
      <c r="O152" s="94"/>
      <c r="Q152" s="94"/>
      <c r="R152" s="123"/>
      <c r="S152" s="94"/>
      <c r="T152" s="94"/>
      <c r="U152" s="94"/>
      <c r="V152" s="94"/>
      <c r="W152" s="94"/>
      <c r="X152" s="94"/>
      <c r="Y152" s="94"/>
      <c r="Z152" s="94"/>
      <c r="AA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4"/>
      <c r="AS152" s="94"/>
    </row>
    <row r="153" spans="3:45" s="87" customFormat="1" ht="20.100000000000001" customHeight="1" x14ac:dyDescent="0.25">
      <c r="C153" s="94"/>
      <c r="D153" s="94"/>
      <c r="E153" s="94"/>
      <c r="G153" s="94"/>
      <c r="H153" s="94"/>
      <c r="I153" s="94"/>
      <c r="J153" s="94"/>
      <c r="K153" s="94"/>
      <c r="L153" s="94"/>
      <c r="M153" s="94"/>
      <c r="N153" s="94"/>
      <c r="O153" s="94"/>
      <c r="Q153" s="94"/>
      <c r="R153" s="123"/>
      <c r="S153" s="94"/>
      <c r="T153" s="94"/>
      <c r="U153" s="94"/>
      <c r="V153" s="94"/>
      <c r="W153" s="94"/>
      <c r="X153" s="94"/>
      <c r="Y153" s="94"/>
      <c r="Z153" s="94"/>
      <c r="AA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4"/>
      <c r="AS153" s="94"/>
    </row>
    <row r="154" spans="3:45" s="87" customFormat="1" ht="20.100000000000001" customHeight="1" x14ac:dyDescent="0.25">
      <c r="C154" s="94"/>
      <c r="D154" s="94"/>
      <c r="E154" s="94"/>
      <c r="G154" s="94"/>
      <c r="H154" s="94"/>
      <c r="I154" s="94"/>
      <c r="J154" s="94"/>
      <c r="K154" s="94"/>
      <c r="L154" s="94"/>
      <c r="M154" s="94"/>
      <c r="N154" s="94"/>
      <c r="O154" s="94"/>
      <c r="Q154" s="94"/>
      <c r="R154" s="123"/>
      <c r="S154" s="94"/>
      <c r="T154" s="94"/>
      <c r="U154" s="94"/>
      <c r="V154" s="94"/>
      <c r="W154" s="94"/>
      <c r="X154" s="94"/>
      <c r="Y154" s="94"/>
      <c r="Z154" s="94"/>
      <c r="AA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4"/>
      <c r="AS154" s="94"/>
    </row>
    <row r="155" spans="3:45" s="87" customFormat="1" ht="20.100000000000001" customHeight="1" x14ac:dyDescent="0.25">
      <c r="C155" s="23"/>
      <c r="D155" s="94"/>
      <c r="E155" s="23"/>
      <c r="F155" s="21"/>
      <c r="G155" s="23"/>
      <c r="H155" s="94"/>
      <c r="I155" s="23"/>
      <c r="J155" s="23"/>
      <c r="K155" s="23"/>
      <c r="L155" s="94"/>
      <c r="M155" s="94"/>
      <c r="N155" s="94"/>
      <c r="O155" s="94"/>
      <c r="Q155" s="23"/>
      <c r="R155" s="123"/>
      <c r="S155" s="23"/>
      <c r="T155" s="94"/>
      <c r="U155" s="23"/>
      <c r="V155" s="94"/>
      <c r="W155" s="23"/>
      <c r="X155" s="94"/>
      <c r="Y155" s="23"/>
      <c r="Z155" s="23"/>
      <c r="AA155" s="94"/>
      <c r="AC155" s="94"/>
      <c r="AD155" s="23"/>
      <c r="AE155" s="23"/>
      <c r="AF155" s="23"/>
      <c r="AG155" s="23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</row>
    <row r="156" spans="3:45" ht="20.100000000000001" customHeight="1" x14ac:dyDescent="0.25">
      <c r="C156" s="23"/>
      <c r="D156" s="94"/>
      <c r="E156" s="23"/>
      <c r="G156" s="23"/>
      <c r="H156" s="94"/>
      <c r="I156" s="23"/>
      <c r="J156" s="23"/>
      <c r="K156" s="23"/>
      <c r="L156" s="94"/>
      <c r="M156" s="94"/>
      <c r="N156" s="94"/>
      <c r="O156" s="94"/>
      <c r="Q156" s="23"/>
      <c r="R156" s="123"/>
      <c r="S156" s="23"/>
      <c r="T156" s="94"/>
      <c r="U156" s="23"/>
      <c r="V156" s="94"/>
      <c r="W156" s="23"/>
      <c r="X156" s="94"/>
      <c r="Y156" s="23"/>
      <c r="Z156" s="23"/>
      <c r="AA156" s="94"/>
      <c r="AB156" s="87"/>
      <c r="AC156" s="94"/>
      <c r="AD156" s="23"/>
      <c r="AE156" s="23"/>
      <c r="AF156" s="23"/>
      <c r="AG156" s="23"/>
      <c r="AH156" s="94"/>
      <c r="AI156" s="94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</row>
    <row r="157" spans="3:45" ht="20.100000000000001" customHeight="1" x14ac:dyDescent="0.25">
      <c r="C157" s="23"/>
      <c r="D157" s="94"/>
      <c r="E157" s="23"/>
      <c r="G157" s="23"/>
      <c r="H157" s="94"/>
      <c r="I157" s="23"/>
      <c r="J157" s="23"/>
      <c r="K157" s="23"/>
      <c r="L157" s="94"/>
      <c r="M157" s="23"/>
      <c r="N157" s="23"/>
      <c r="O157" s="23"/>
      <c r="Q157" s="23"/>
      <c r="R157" s="123"/>
      <c r="S157" s="23"/>
      <c r="T157" s="94"/>
      <c r="U157" s="23"/>
      <c r="V157" s="94"/>
      <c r="W157" s="23"/>
      <c r="X157" s="94"/>
      <c r="Y157" s="23"/>
      <c r="Z157" s="23"/>
      <c r="AA157" s="23"/>
      <c r="AC157" s="23"/>
      <c r="AD157" s="23"/>
      <c r="AE157" s="23"/>
      <c r="AF157" s="23"/>
      <c r="AG157" s="23"/>
      <c r="AH157" s="94"/>
      <c r="AI157" s="94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</row>
    <row r="158" spans="3:45" ht="20.100000000000001" customHeight="1" x14ac:dyDescent="0.25">
      <c r="C158" s="23"/>
      <c r="D158" s="94"/>
      <c r="E158" s="23"/>
      <c r="G158" s="23"/>
      <c r="H158" s="94"/>
      <c r="I158" s="23"/>
      <c r="J158" s="23"/>
      <c r="K158" s="23"/>
      <c r="L158" s="94"/>
      <c r="M158" s="23"/>
      <c r="N158" s="23"/>
      <c r="O158" s="23"/>
      <c r="Q158" s="23"/>
      <c r="R158" s="123"/>
      <c r="S158" s="23"/>
      <c r="T158" s="94"/>
      <c r="U158" s="23"/>
      <c r="V158" s="94"/>
      <c r="W158" s="23"/>
      <c r="X158" s="94"/>
      <c r="Y158" s="23"/>
      <c r="Z158" s="23"/>
      <c r="AA158" s="23"/>
      <c r="AC158" s="23"/>
      <c r="AD158" s="23"/>
      <c r="AE158" s="23"/>
      <c r="AF158" s="23"/>
      <c r="AG158" s="23"/>
      <c r="AH158" s="94"/>
      <c r="AI158" s="94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</row>
    <row r="159" spans="3:45" ht="20.100000000000001" customHeight="1" x14ac:dyDescent="0.25">
      <c r="C159" s="23"/>
      <c r="D159" s="94"/>
      <c r="E159" s="23"/>
      <c r="G159" s="23"/>
      <c r="M159" s="23"/>
      <c r="N159" s="23"/>
      <c r="O159" s="23"/>
      <c r="Q159" s="23"/>
      <c r="R159" s="123"/>
      <c r="S159" s="23"/>
      <c r="T159" s="94"/>
      <c r="U159" s="23"/>
      <c r="V159" s="94"/>
      <c r="W159" s="23"/>
      <c r="X159" s="94"/>
      <c r="Y159" s="23"/>
      <c r="Z159" s="23"/>
      <c r="AA159" s="23"/>
      <c r="AC159" s="23"/>
      <c r="AD159" s="23"/>
      <c r="AE159" s="23"/>
      <c r="AF159" s="23"/>
      <c r="AG159" s="23"/>
      <c r="AH159" s="94"/>
      <c r="AI159" s="94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</row>
    <row r="160" spans="3:45" ht="20.100000000000001" customHeight="1" x14ac:dyDescent="0.25">
      <c r="M160" s="23"/>
      <c r="N160" s="23"/>
      <c r="O160" s="23"/>
      <c r="Q160" s="23"/>
      <c r="R160" s="123"/>
      <c r="S160" s="23"/>
      <c r="T160" s="94"/>
      <c r="U160" s="23"/>
      <c r="V160" s="94"/>
      <c r="W160" s="23"/>
      <c r="X160" s="94"/>
      <c r="Y160" s="23"/>
      <c r="Z160" s="23"/>
      <c r="AA160" s="23"/>
      <c r="AC160" s="23"/>
      <c r="AD160" s="23"/>
      <c r="AE160" s="23"/>
      <c r="AF160" s="23"/>
      <c r="AG160" s="23"/>
      <c r="AH160" s="94"/>
      <c r="AI160" s="94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</row>
    <row r="161" spans="17:45" ht="20.100000000000001" customHeight="1" x14ac:dyDescent="0.25">
      <c r="Q161" s="23"/>
      <c r="R161" s="123"/>
      <c r="S161" s="23"/>
      <c r="T161" s="94"/>
      <c r="U161" s="23"/>
      <c r="V161" s="94"/>
      <c r="W161" s="23"/>
      <c r="X161" s="94"/>
      <c r="Y161" s="23"/>
      <c r="Z161" s="23"/>
      <c r="AA161" s="23"/>
      <c r="AC161" s="23"/>
      <c r="AD161" s="23"/>
      <c r="AE161" s="23"/>
      <c r="AF161" s="23"/>
      <c r="AG161" s="23"/>
      <c r="AH161" s="94"/>
      <c r="AI161" s="94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</row>
    <row r="162" spans="17:45" ht="20.100000000000001" customHeight="1" x14ac:dyDescent="0.25">
      <c r="AA162" s="23"/>
      <c r="AC162" s="23"/>
      <c r="AD162" s="23"/>
      <c r="AE162" s="23"/>
      <c r="AF162" s="23"/>
      <c r="AG162" s="23"/>
      <c r="AH162" s="94"/>
      <c r="AI162" s="94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</row>
    <row r="163" spans="17:45" ht="20.100000000000001" customHeight="1" x14ac:dyDescent="0.25">
      <c r="AA163" s="23"/>
      <c r="AC163" s="23"/>
      <c r="AD163" s="23"/>
      <c r="AE163" s="23"/>
      <c r="AF163" s="23"/>
      <c r="AG163" s="23"/>
      <c r="AH163" s="94"/>
      <c r="AI163" s="94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</row>
    <row r="164" spans="17:45" ht="20.100000000000001" customHeight="1" x14ac:dyDescent="0.25">
      <c r="AC164" s="23"/>
      <c r="AD164" s="23"/>
      <c r="AE164" s="23"/>
      <c r="AF164" s="23"/>
      <c r="AG164" s="23"/>
      <c r="AH164" s="94"/>
      <c r="AI164" s="94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</row>
    <row r="165" spans="17:45" ht="20.100000000000001" customHeight="1" x14ac:dyDescent="0.25">
      <c r="AC165" s="23"/>
      <c r="AD165" s="23"/>
      <c r="AE165" s="23"/>
      <c r="AF165" s="23"/>
      <c r="AG165" s="23"/>
      <c r="AH165" s="94"/>
      <c r="AI165" s="94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</row>
    <row r="166" spans="17:45" ht="20.100000000000001" customHeight="1" x14ac:dyDescent="0.25">
      <c r="AC166" s="23"/>
      <c r="AD166" s="23"/>
      <c r="AE166" s="23"/>
      <c r="AF166" s="23"/>
      <c r="AG166" s="23"/>
      <c r="AH166" s="94"/>
      <c r="AI166" s="94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</row>
    <row r="167" spans="17:45" ht="20.100000000000001" customHeight="1" x14ac:dyDescent="0.25">
      <c r="AC167" s="23"/>
      <c r="AD167" s="23"/>
      <c r="AE167" s="23"/>
      <c r="AF167" s="23"/>
      <c r="AG167" s="23"/>
      <c r="AH167" s="94"/>
      <c r="AI167" s="94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</row>
    <row r="168" spans="17:45" ht="20.100000000000001" customHeight="1" x14ac:dyDescent="0.25">
      <c r="AC168" s="23"/>
      <c r="AD168" s="23"/>
      <c r="AE168" s="23"/>
      <c r="AF168" s="23"/>
      <c r="AG168" s="23"/>
      <c r="AH168" s="94"/>
      <c r="AI168" s="94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</row>
    <row r="169" spans="17:45" ht="20.100000000000001" customHeight="1" x14ac:dyDescent="0.25">
      <c r="AC169" s="23"/>
      <c r="AD169" s="23"/>
      <c r="AE169" s="23"/>
      <c r="AF169" s="23"/>
      <c r="AG169" s="23"/>
      <c r="AH169" s="94"/>
      <c r="AI169" s="94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</row>
    <row r="170" spans="17:45" ht="20.100000000000001" customHeight="1" x14ac:dyDescent="0.25">
      <c r="AC170" s="23"/>
      <c r="AD170" s="23"/>
      <c r="AE170" s="23"/>
      <c r="AF170" s="23"/>
      <c r="AG170" s="23"/>
      <c r="AH170" s="94"/>
      <c r="AI170" s="94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</row>
    <row r="171" spans="17:45" ht="20.100000000000001" customHeight="1" x14ac:dyDescent="0.25">
      <c r="AC171" s="23"/>
      <c r="AD171" s="23"/>
      <c r="AE171" s="23"/>
      <c r="AF171" s="23"/>
      <c r="AG171" s="23"/>
      <c r="AH171" s="94"/>
      <c r="AI171" s="94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</row>
    <row r="172" spans="17:45" ht="20.100000000000001" customHeight="1" x14ac:dyDescent="0.25">
      <c r="AC172" s="23"/>
      <c r="AD172" s="23"/>
      <c r="AE172" s="23"/>
      <c r="AF172" s="23"/>
      <c r="AG172" s="23"/>
      <c r="AH172" s="94"/>
      <c r="AI172" s="94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</row>
    <row r="173" spans="17:45" ht="20.100000000000001" customHeight="1" x14ac:dyDescent="0.25">
      <c r="AC173" s="23"/>
      <c r="AD173" s="23"/>
      <c r="AE173" s="23"/>
      <c r="AF173" s="23"/>
      <c r="AG173" s="23"/>
      <c r="AH173" s="94"/>
      <c r="AI173" s="94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</row>
    <row r="174" spans="17:45" ht="20.100000000000001" customHeight="1" x14ac:dyDescent="0.25">
      <c r="AC174" s="23"/>
      <c r="AD174" s="23"/>
      <c r="AE174" s="23"/>
      <c r="AF174" s="23"/>
      <c r="AG174" s="23"/>
      <c r="AH174" s="94"/>
      <c r="AI174" s="94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</row>
    <row r="175" spans="17:45" ht="20.100000000000001" customHeight="1" x14ac:dyDescent="0.25">
      <c r="AC175" s="23"/>
      <c r="AD175" s="23"/>
      <c r="AE175" s="23"/>
      <c r="AF175" s="23"/>
      <c r="AG175" s="23"/>
      <c r="AH175" s="94"/>
      <c r="AI175" s="94"/>
    </row>
    <row r="176" spans="17:45" ht="20.100000000000001" customHeight="1" x14ac:dyDescent="0.25">
      <c r="AC176" s="23"/>
      <c r="AD176" s="23"/>
      <c r="AE176" s="23"/>
      <c r="AF176" s="23"/>
      <c r="AG176" s="23"/>
      <c r="AH176" s="94"/>
      <c r="AI176" s="94"/>
    </row>
    <row r="177" spans="29:35" ht="20.100000000000001" customHeight="1" x14ac:dyDescent="0.25">
      <c r="AC177" s="23"/>
      <c r="AD177" s="23"/>
      <c r="AE177" s="23"/>
      <c r="AF177" s="23"/>
      <c r="AG177" s="23"/>
      <c r="AH177" s="94"/>
      <c r="AI177" s="94"/>
    </row>
    <row r="178" spans="29:35" ht="20.100000000000001" customHeight="1" x14ac:dyDescent="0.25">
      <c r="AC178" s="23"/>
      <c r="AD178" s="23"/>
      <c r="AE178" s="23"/>
      <c r="AF178" s="23"/>
      <c r="AG178" s="23"/>
      <c r="AH178" s="94"/>
      <c r="AI178" s="94"/>
    </row>
    <row r="179" spans="29:35" ht="20.100000000000001" customHeight="1" x14ac:dyDescent="0.25">
      <c r="AC179" s="23"/>
      <c r="AD179" s="23"/>
      <c r="AE179" s="23"/>
      <c r="AF179" s="23"/>
      <c r="AG179" s="23"/>
      <c r="AH179" s="94"/>
      <c r="AI179" s="94"/>
    </row>
    <row r="180" spans="29:35" ht="20.100000000000001" customHeight="1" x14ac:dyDescent="0.25">
      <c r="AC180" s="23"/>
      <c r="AD180" s="23"/>
      <c r="AE180" s="23"/>
      <c r="AF180" s="23"/>
      <c r="AG180" s="23"/>
      <c r="AH180" s="94"/>
      <c r="AI180" s="94"/>
    </row>
    <row r="181" spans="29:35" ht="20.100000000000001" customHeight="1" x14ac:dyDescent="0.25">
      <c r="AC181" s="23"/>
      <c r="AD181" s="23"/>
      <c r="AE181" s="23"/>
      <c r="AF181" s="23"/>
      <c r="AG181" s="23"/>
      <c r="AH181" s="94"/>
      <c r="AI181" s="94"/>
    </row>
    <row r="182" spans="29:35" ht="20.100000000000001" customHeight="1" x14ac:dyDescent="0.25">
      <c r="AC182" s="23"/>
      <c r="AD182" s="23"/>
      <c r="AE182" s="23"/>
      <c r="AF182" s="23"/>
      <c r="AG182" s="23"/>
    </row>
    <row r="183" spans="29:35" ht="20.100000000000001" customHeight="1" x14ac:dyDescent="0.25">
      <c r="AC183" s="23"/>
      <c r="AD183" s="23"/>
      <c r="AE183" s="23"/>
      <c r="AF183" s="23"/>
      <c r="AG183" s="23"/>
    </row>
    <row r="184" spans="29:35" ht="20.100000000000001" customHeight="1" x14ac:dyDescent="0.25">
      <c r="AC184" s="23"/>
      <c r="AD184" s="23"/>
      <c r="AE184" s="23"/>
      <c r="AF184" s="23"/>
      <c r="AG184" s="23"/>
    </row>
    <row r="185" spans="29:35" ht="20.100000000000001" customHeight="1" x14ac:dyDescent="0.25">
      <c r="AC185" s="23"/>
      <c r="AD185" s="23"/>
      <c r="AE185" s="23"/>
      <c r="AF185" s="23"/>
      <c r="AG185" s="23"/>
    </row>
    <row r="186" spans="29:35" ht="20.100000000000001" customHeight="1" x14ac:dyDescent="0.25">
      <c r="AC186" s="23"/>
      <c r="AD186" s="23"/>
      <c r="AE186" s="23"/>
      <c r="AF186" s="23"/>
      <c r="AG186" s="23"/>
    </row>
    <row r="187" spans="29:35" ht="20.100000000000001" customHeight="1" x14ac:dyDescent="0.25">
      <c r="AC187" s="23"/>
      <c r="AD187" s="23"/>
      <c r="AE187" s="23"/>
      <c r="AF187" s="23"/>
      <c r="AG187" s="23"/>
    </row>
    <row r="188" spans="29:35" ht="20.100000000000001" customHeight="1" x14ac:dyDescent="0.25">
      <c r="AC188" s="23"/>
      <c r="AD188" s="23"/>
      <c r="AE188" s="23"/>
      <c r="AF188" s="23"/>
      <c r="AG188" s="23"/>
    </row>
    <row r="189" spans="29:35" ht="20.100000000000001" customHeight="1" x14ac:dyDescent="0.25">
      <c r="AC189" s="23"/>
    </row>
    <row r="190" spans="29:35" ht="20.100000000000001" customHeight="1" x14ac:dyDescent="0.25">
      <c r="AC190" s="23"/>
    </row>
  </sheetData>
  <mergeCells count="105">
    <mergeCell ref="E16:G16"/>
    <mergeCell ref="I24:K24"/>
    <mergeCell ref="I25:K25"/>
    <mergeCell ref="I26:K26"/>
    <mergeCell ref="I27:K27"/>
    <mergeCell ref="I16:K16"/>
    <mergeCell ref="E27:G27"/>
    <mergeCell ref="E21:G21"/>
    <mergeCell ref="E22:G22"/>
    <mergeCell ref="E23:G23"/>
    <mergeCell ref="E24:G24"/>
    <mergeCell ref="E25:G25"/>
    <mergeCell ref="E20:G20"/>
    <mergeCell ref="E26:G26"/>
    <mergeCell ref="E17:G17"/>
    <mergeCell ref="E18:G18"/>
    <mergeCell ref="E19:G19"/>
    <mergeCell ref="I13:K13"/>
    <mergeCell ref="I14:K14"/>
    <mergeCell ref="I29:K29"/>
    <mergeCell ref="I30:K30"/>
    <mergeCell ref="I4:K4"/>
    <mergeCell ref="I5:K5"/>
    <mergeCell ref="I6:K6"/>
    <mergeCell ref="I7:K7"/>
    <mergeCell ref="I28:K28"/>
    <mergeCell ref="I19:K19"/>
    <mergeCell ref="I8:K8"/>
    <mergeCell ref="I9:K9"/>
    <mergeCell ref="I21:K21"/>
    <mergeCell ref="I22:K22"/>
    <mergeCell ref="I23:K23"/>
    <mergeCell ref="I20:K20"/>
    <mergeCell ref="I17:K17"/>
    <mergeCell ref="I18:K18"/>
    <mergeCell ref="I15:K15"/>
    <mergeCell ref="E13:G13"/>
    <mergeCell ref="E14:G14"/>
    <mergeCell ref="E15:G15"/>
    <mergeCell ref="M4:O4"/>
    <mergeCell ref="M5:O5"/>
    <mergeCell ref="M6:O6"/>
    <mergeCell ref="M7:O7"/>
    <mergeCell ref="M8:O8"/>
    <mergeCell ref="M9:O9"/>
    <mergeCell ref="M10:O10"/>
    <mergeCell ref="M11:O11"/>
    <mergeCell ref="M12:O12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I10:K10"/>
    <mergeCell ref="I11:K11"/>
    <mergeCell ref="I12:K12"/>
    <mergeCell ref="M13:O13"/>
    <mergeCell ref="S27:U27"/>
    <mergeCell ref="S28:U28"/>
    <mergeCell ref="M16:O16"/>
    <mergeCell ref="M17:O17"/>
    <mergeCell ref="M18:O18"/>
    <mergeCell ref="M19:O19"/>
    <mergeCell ref="M14:O14"/>
    <mergeCell ref="M20:O20"/>
    <mergeCell ref="M21:O21"/>
    <mergeCell ref="M22:O22"/>
    <mergeCell ref="M23:O23"/>
    <mergeCell ref="M24:O24"/>
    <mergeCell ref="M15:O15"/>
    <mergeCell ref="M25:O25"/>
    <mergeCell ref="M26:O26"/>
    <mergeCell ref="M27:O27"/>
    <mergeCell ref="E49:I49"/>
    <mergeCell ref="K49:O49"/>
    <mergeCell ref="M30:O30"/>
    <mergeCell ref="Y27:AC27"/>
    <mergeCell ref="Y28:AC28"/>
    <mergeCell ref="Y29:AC29"/>
    <mergeCell ref="Y30:AC30"/>
    <mergeCell ref="Y31:AC31"/>
    <mergeCell ref="Y32:AC32"/>
    <mergeCell ref="E30:G30"/>
    <mergeCell ref="S33:U33"/>
    <mergeCell ref="E28:G28"/>
    <mergeCell ref="E29:G29"/>
    <mergeCell ref="M28:O28"/>
    <mergeCell ref="M29:O29"/>
    <mergeCell ref="AA69:AC69"/>
    <mergeCell ref="AE33:AG33"/>
    <mergeCell ref="Y33:AC33"/>
    <mergeCell ref="S29:U29"/>
    <mergeCell ref="S30:U30"/>
    <mergeCell ref="S31:U31"/>
    <mergeCell ref="S32:U32"/>
    <mergeCell ref="AE27:AG27"/>
    <mergeCell ref="AE28:AG28"/>
    <mergeCell ref="AE29:AG29"/>
    <mergeCell ref="AE30:AG30"/>
    <mergeCell ref="AE31:AG31"/>
    <mergeCell ref="AE32:AG32"/>
  </mergeCells>
  <conditionalFormatting sqref="S61">
    <cfRule type="expression" dxfId="8" priority="49">
      <formula>$S$61=250</formula>
    </cfRule>
  </conditionalFormatting>
  <conditionalFormatting sqref="U61">
    <cfRule type="expression" dxfId="7" priority="48">
      <formula>$U$61=250</formula>
    </cfRule>
  </conditionalFormatting>
  <conditionalFormatting sqref="AE61 W61">
    <cfRule type="expression" dxfId="6" priority="47">
      <formula>$W$61=250</formula>
    </cfRule>
  </conditionalFormatting>
  <conditionalFormatting sqref="Y61">
    <cfRule type="expression" dxfId="5" priority="46">
      <formula>$Y$61=250</formula>
    </cfRule>
  </conditionalFormatting>
  <conditionalFormatting sqref="AG61 AA61 AC61">
    <cfRule type="expression" dxfId="4" priority="45">
      <formula>$AA$61=250</formula>
    </cfRule>
  </conditionalFormatting>
  <conditionalFormatting sqref="S61 AG65 AG63 AG61 AE67 AE65 AE63 AE61 S63 S65 S67 U61 U63 U65 U67 W67 W65 Y65 Y67 AA67 AA65 AA63 AA61 Y61 Y63 W63 S51:S59 AC67 AC65 AC63 AC61 AH48 AG67 AA51:AA59 AC51:AC59 AE51:AE59 AG51:AG59 U51:U59 Y51:Y59 W51:W59 X59:AA59 T59:V59 W61 S42:S48 U42:U48 W42:W48 Y42:Y48 AA42:AA48 AC42:AC48 AE42:AE48 AG42:AG48">
    <cfRule type="expression" dxfId="3" priority="62">
      <formula>COUNTA($S$4:$S$33)=0</formula>
    </cfRule>
  </conditionalFormatting>
  <conditionalFormatting sqref="AE71:AG76 AE78:AG80 AD87:AD93 AD100:AG101 AD103:AG108 S106:Z108 AA82:AC82 AA106:AC110 AD95:AD99 AG95:AG99 AG87:AG93 AD81:AG82 S81:Z82">
    <cfRule type="expression" dxfId="2" priority="63">
      <formula>S71&lt;=$K$14*40%</formula>
    </cfRule>
  </conditionalFormatting>
  <conditionalFormatting sqref="M79 AC79">
    <cfRule type="expression" dxfId="1" priority="3">
      <formula>M79&lt;=$M$72*40%</formula>
    </cfRule>
  </conditionalFormatting>
  <conditionalFormatting sqref="O79">
    <cfRule type="expression" dxfId="0" priority="1">
      <formula>O79&lt;=$M$72*40%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56 V65 Z57 Z51 S54 X65 Z65 Z52:Z54 Z56 X57 V51 X51 AB51 V52:V54 V56 V57 X56 X52:X54 S6:S7 U14:U20 W18 W14:W17 W19:W22 K47 O47 K51:K67 M51:M67 O51:O67 U56 U52:U54 U51 U55 U57:U65 S58 W56 W52:W54 W51 W55 W57:W65 Y56 Y52:Y54 Y51 Y55 Y57:Y65 AA56 AA52:AA54 AA51 AA55 AA57:AA65 AC52:AC54 AC51 AC55 AC63 AC57:AC59 AC65 AE52:AE54 AE51 AE55 AE63 AE57:AE58 AE65 AG52:AG54 AG51 AG55 AG63 AG57:AG59 AG65 AC72:AC73 K68 M68 O68 AC77:AC78 M72:O72 O74 AC74:AC76 O76" unlockedFormula="1"/>
    <ignoredError sqref="W43 AC49 AC66:AC67 Z40 AC40 AF40:AG40 AC41 W41 Z41:AA41 Z42 AF42 Y43:AA43 X40:X43 AC45 AE41:AF41" numberStoredAsText="1"/>
    <ignoredError sqref="W67 Y67:AA67 T67:V67 X67" formula="1"/>
    <ignoredError sqref="AE49:AG49 AF43:AF44 AE45:AG45" evalError="1" numberStoredAsText="1"/>
    <ignoredError sqref="AF60:AF62 AF51:AF52 AF57 AF59 AF53 AE66:AG67 AF65 AF56 AF54 AF64 AF63 AC64 AC56 AC60:AC62 AE64 AE56 AE59 AE60:AE62 AG64 AG56 AG60:AG62" evalError="1" numberStoredAsText="1" unlockedFormula="1"/>
    <ignoredError sqref="M79:O79" evalError="1"/>
    <ignoredError sqref="AC79" evalErro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JMM</vt:lpstr>
      <vt:lpstr>'Tableau JMM'!Zone_d_impression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2011-08-04T09:12:37Z</cp:lastPrinted>
  <dcterms:created xsi:type="dcterms:W3CDTF">2008-03-12T18:15:50Z</dcterms:created>
  <dcterms:modified xsi:type="dcterms:W3CDTF">2011-08-06T13:55:32Z</dcterms:modified>
</cp:coreProperties>
</file>