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60" yWindow="855" windowWidth="9315" windowHeight="6255"/>
  </bookViews>
  <sheets>
    <sheet name="JMM17072012" sheetId="69" r:id="rId1"/>
  </sheets>
  <definedNames>
    <definedName name="Date_Paie" localSheetId="0">#REF!</definedName>
    <definedName name="Date_Paie">#REF!</definedName>
    <definedName name="Date_Paiement" localSheetId="0">DATE(YEAR(JMM17072012!Début_Prêt),MONTH(JMM17072012!Début_Prêt)+Payment_Number,DAY(JMM17072012!Début_Prêt))</definedName>
    <definedName name="Date_Paiement">DATE(YEAR(Début_Prêt),MONTH(Début_Prêt)+Payment_Number,DAY(Début_Prêt))</definedName>
    <definedName name="Début_Prêt" localSheetId="0">#REF!</definedName>
    <definedName name="Début_Prêt">#REF!</definedName>
    <definedName name="Dernière_Ligne" localSheetId="0">IF(JMM17072012!Valeurs_Entrées,JMM17072012!Ligne_EnTête+JMM17072012!Nbre_de_Paiements,JMM17072012!Ligne_EnTête)</definedName>
    <definedName name="Dernière_Ligne">IF(Valeurs_Entrées,Ligne_EnTête+Nbre_de_Paiements,Ligne_EnTête)</definedName>
    <definedName name="Données" localSheetId="0">#REF!</definedName>
    <definedName name="Données">#REF!</definedName>
    <definedName name="Durée_Prêt" localSheetId="0">#REF!</definedName>
    <definedName name="Durée_Prêt">#REF!</definedName>
    <definedName name="Ent" localSheetId="0">#REF!</definedName>
    <definedName name="Ent">#REF!</definedName>
    <definedName name="FicheClient" localSheetId="0">#REF!</definedName>
    <definedName name="FicheClient">#REF!</definedName>
    <definedName name="Impression_Entière" localSheetId="0">#REF!</definedName>
    <definedName name="Impression_Entière">#REF!</definedName>
    <definedName name="Intérêt_Total" localSheetId="0">#REF!</definedName>
    <definedName name="Intérêt_Total">#REF!</definedName>
    <definedName name="Intérêts_Cumulés" localSheetId="0">#REF!</definedName>
    <definedName name="Intérêts_Cumulés">#REF!</definedName>
    <definedName name="Ligne_EnTête" localSheetId="0">ROW(#REF!)</definedName>
    <definedName name="Ligne_EnTête">ROW(#REF!)</definedName>
    <definedName name="Mensualité">#REF!</definedName>
    <definedName name="Montant_Prêt" localSheetId="0">#REF!</definedName>
    <definedName name="Montant_Prêt">#REF!</definedName>
    <definedName name="Nbre_de_Paiements" localSheetId="0">MATCH(0.01,JMM17072012!Solde_Final,-1)+1</definedName>
    <definedName name="Nbre_de_Paiements">MATCH(0.01,Solde_Final,-1)+1</definedName>
    <definedName name="Nbre_Pmt" localSheetId="0">#REF!</definedName>
    <definedName name="Nbre_Pmt">#REF!</definedName>
    <definedName name="Nbre_Pmt_Par_An" localSheetId="0">#REF!</definedName>
    <definedName name="Nbre_Pmt_Par_An">#REF!</definedName>
    <definedName name="Pmt_Mensuel_Programmé" localSheetId="0">#REF!</definedName>
    <definedName name="Pmt_Mensuel_Programmé">#REF!</definedName>
    <definedName name="Pmt_Programmé" localSheetId="0">#REF!</definedName>
    <definedName name="Pmt_Programmé">#REF!</definedName>
    <definedName name="Pmt_Supplémentaire" localSheetId="0">#REF!</definedName>
    <definedName name="Pmt_Supplémentaire">#REF!</definedName>
    <definedName name="Pmt_Total" localSheetId="0">#REF!</definedName>
    <definedName name="Pmt_Total">#REF!</definedName>
    <definedName name="Pmts_Supplémentaires_Programmés" localSheetId="0">#REF!</definedName>
    <definedName name="Pmts_Supplémentaires_Programmés">#REF!</definedName>
    <definedName name="Princ" localSheetId="0">#REF!</definedName>
    <definedName name="Princ">#REF!</definedName>
    <definedName name="Réinit_Zone_Impression" localSheetId="0">OFFSET(JMM17072012!Impression_Entière,0,0,JMM17072012!Dernière_Ligne)</definedName>
    <definedName name="Réinit_Zone_Impression">OFFSET(Impression_Entière,0,0,Dernière_Ligne)</definedName>
    <definedName name="Solde_Départ" localSheetId="0">#REF!</definedName>
    <definedName name="Solde_Départ">#REF!</definedName>
    <definedName name="Solde_Final" localSheetId="0">#REF!</definedName>
    <definedName name="Solde_Final">#REF!</definedName>
    <definedName name="Taux_Intérêt" localSheetId="0">#REF!</definedName>
    <definedName name="Taux_Intérêt">#REF!</definedName>
    <definedName name="Taux_Intérêt_Programmé" localSheetId="0">#REF!</definedName>
    <definedName name="Taux_Intérêt_Programmé">#REF!</definedName>
    <definedName name="Valeurs_Entrées" localSheetId="0">IF(JMM17072012!Montant_Prêt*JMM17072012!Taux_Intérêt*JMM17072012!Durée_Prêt*JMM17072012!Début_Prêt&gt;0,1,0)</definedName>
    <definedName name="Valeurs_Entrées">IF(Montant_Prêt*Taux_Intérêt*Durée_Prêt*Début_Prêt&gt;0,1,0)</definedName>
  </definedNames>
  <calcPr calcId="145621" iterate="1"/>
</workbook>
</file>

<file path=xl/calcChain.xml><?xml version="1.0" encoding="utf-8"?>
<calcChain xmlns="http://schemas.openxmlformats.org/spreadsheetml/2006/main">
  <c r="E61" i="69" l="1"/>
  <c r="U10" i="69"/>
  <c r="U11" i="69"/>
  <c r="W17" i="69"/>
  <c r="Y17" i="69" s="1"/>
  <c r="W18" i="69"/>
  <c r="Y18" i="69"/>
  <c r="W19" i="69"/>
  <c r="Y19" i="69" s="1"/>
  <c r="W20" i="69"/>
  <c r="Y20" i="69"/>
  <c r="W21" i="69"/>
  <c r="Y21" i="69" s="1"/>
  <c r="W22" i="69"/>
  <c r="Y22" i="69"/>
  <c r="W23" i="69"/>
  <c r="Y23" i="69" s="1"/>
  <c r="E25" i="69"/>
  <c r="F25" i="69"/>
  <c r="H25" i="69"/>
  <c r="J25" i="69"/>
  <c r="K25" i="69"/>
  <c r="L25" i="69"/>
  <c r="N25" i="69"/>
  <c r="O25" i="69"/>
  <c r="M29" i="69"/>
  <c r="U29" i="69"/>
  <c r="M30" i="69"/>
  <c r="M31" i="69"/>
  <c r="U31" i="69"/>
  <c r="M32" i="69"/>
  <c r="M33" i="69"/>
  <c r="M34" i="69"/>
  <c r="M35" i="69"/>
  <c r="M36" i="69"/>
  <c r="M37" i="69"/>
  <c r="M38" i="69"/>
  <c r="E43" i="69"/>
  <c r="F43" i="69"/>
  <c r="G43" i="69"/>
  <c r="H43" i="69"/>
  <c r="I43" i="69"/>
  <c r="M43" i="69"/>
  <c r="E88" i="69" s="1"/>
  <c r="E94" i="69"/>
  <c r="U94" i="69" s="1"/>
  <c r="U96" i="69" s="1"/>
  <c r="E95" i="69"/>
  <c r="E97" i="69" s="1"/>
  <c r="E101" i="69" s="1"/>
  <c r="G95" i="69"/>
  <c r="G97" i="69" s="1"/>
  <c r="G101" i="69" s="1"/>
  <c r="I95" i="69"/>
  <c r="I97" i="69" s="1"/>
  <c r="I101" i="69" s="1"/>
  <c r="K95" i="69"/>
  <c r="K97" i="69" s="1"/>
  <c r="E96" i="69"/>
  <c r="Q94" i="69"/>
  <c r="Q96" i="69" s="1"/>
  <c r="S94" i="69"/>
  <c r="S96" i="69" s="1"/>
  <c r="AA94" i="69"/>
  <c r="Y95" i="69"/>
  <c r="Y97" i="69" s="1"/>
  <c r="Y101" i="69" s="1"/>
  <c r="AA95" i="69"/>
  <c r="AA97" i="69" s="1"/>
  <c r="AA96" i="69"/>
  <c r="G94" i="69" l="1"/>
  <c r="Y25" i="69"/>
  <c r="AH5" i="69" s="1"/>
  <c r="AI5" i="69" s="1"/>
  <c r="AJ5" i="69" s="1"/>
  <c r="AH4" i="69"/>
  <c r="AI4" i="69" s="1"/>
  <c r="AJ4" i="69" s="1"/>
  <c r="Q88" i="69"/>
  <c r="S88" i="69" s="1"/>
  <c r="G88" i="69"/>
  <c r="I88" i="69" s="1"/>
  <c r="U88" i="69"/>
  <c r="Y88" i="69"/>
  <c r="O88" i="69"/>
  <c r="Y94" i="69"/>
  <c r="Y96" i="69" s="1"/>
  <c r="O94" i="69"/>
  <c r="O96" i="69" s="1"/>
  <c r="K94" i="69"/>
  <c r="K96" i="69" s="1"/>
  <c r="K88" i="69"/>
  <c r="AA88" i="69"/>
  <c r="AG103" i="69"/>
  <c r="AG102" i="69"/>
  <c r="S95" i="69" s="1"/>
  <c r="S97" i="69" s="1"/>
  <c r="S101" i="69" s="1"/>
  <c r="AG101" i="69"/>
  <c r="AH14" i="69" l="1"/>
  <c r="AI14" i="69" s="1"/>
  <c r="AJ14" i="69" s="1"/>
  <c r="AH10" i="69"/>
  <c r="AI10" i="69" s="1"/>
  <c r="AJ10" i="69" s="1"/>
  <c r="I94" i="69"/>
  <c r="I96" i="69" s="1"/>
  <c r="G96" i="69"/>
  <c r="AH7" i="69"/>
  <c r="AI7" i="69" s="1"/>
  <c r="AJ7" i="69" s="1"/>
  <c r="AH6" i="69"/>
  <c r="AI6" i="69" s="1"/>
  <c r="AJ6" i="69" s="1"/>
  <c r="AH2" i="69"/>
  <c r="AI2" i="69" s="1"/>
  <c r="AJ2" i="69" s="1"/>
  <c r="AH3" i="69"/>
  <c r="AI3" i="69" s="1"/>
  <c r="AJ3" i="69" s="1"/>
  <c r="AI8" i="69"/>
  <c r="AJ8" i="69" s="1"/>
  <c r="U32" i="69"/>
  <c r="AI17" i="69"/>
  <c r="AJ17" i="69" s="1"/>
  <c r="AH16" i="69"/>
  <c r="AH13" i="69"/>
  <c r="AI13" i="69" s="1"/>
  <c r="AJ13" i="69" s="1"/>
  <c r="AH15" i="69"/>
  <c r="AI15" i="69" s="1"/>
  <c r="AJ15" i="69" s="1"/>
  <c r="AH11" i="69"/>
  <c r="AI11" i="69" s="1"/>
  <c r="AJ11" i="69" s="1"/>
  <c r="S50" i="69"/>
  <c r="Q50" i="69"/>
  <c r="K50" i="69"/>
  <c r="I50" i="69"/>
  <c r="G50" i="69"/>
  <c r="AI16" i="69" l="1"/>
  <c r="AJ16" i="69" s="1"/>
  <c r="S59" i="69"/>
  <c r="Q59" i="69"/>
  <c r="O59" i="69"/>
  <c r="M59" i="69"/>
  <c r="K59" i="69"/>
  <c r="I59" i="69"/>
  <c r="G59" i="69"/>
  <c r="E59" i="69"/>
  <c r="O50" i="69" l="1"/>
  <c r="N50" i="69"/>
  <c r="M50" i="69"/>
  <c r="AH104" i="69" l="1"/>
  <c r="AH103" i="69"/>
  <c r="AF103" i="69"/>
  <c r="AE103" i="69"/>
  <c r="AH102" i="69"/>
  <c r="U95" i="69" s="1"/>
  <c r="U97" i="69" s="1"/>
  <c r="AF102" i="69"/>
  <c r="Q95" i="69" s="1"/>
  <c r="Q97" i="69" s="1"/>
  <c r="Q101" i="69" s="1"/>
  <c r="AE102" i="69"/>
  <c r="O95" i="69" s="1"/>
  <c r="O97" i="69" s="1"/>
  <c r="O101" i="69" s="1"/>
  <c r="AH101" i="69"/>
  <c r="AF101" i="69"/>
  <c r="AE101" i="69"/>
  <c r="AH100" i="69"/>
  <c r="AF100" i="69"/>
  <c r="AE100" i="69"/>
  <c r="E50" i="69"/>
  <c r="M49" i="69" l="1"/>
  <c r="I61" i="69"/>
  <c r="G61" i="69"/>
  <c r="K61" i="69"/>
  <c r="M61" i="69"/>
  <c r="O49" i="69" l="1"/>
  <c r="S54" i="69"/>
  <c r="K54" i="69"/>
  <c r="Q54" i="69"/>
  <c r="I54" i="69"/>
  <c r="O54" i="69"/>
  <c r="G54" i="69"/>
  <c r="M54" i="69"/>
  <c r="E54" i="69"/>
  <c r="E45" i="69"/>
  <c r="E48" i="69" s="1"/>
  <c r="M45" i="69"/>
  <c r="G45" i="69"/>
  <c r="O45" i="69"/>
  <c r="K45" i="69"/>
  <c r="S45" i="69"/>
  <c r="I45" i="69"/>
  <c r="Q45" i="69"/>
  <c r="E49" i="69"/>
  <c r="K48" i="69"/>
  <c r="G48" i="69"/>
  <c r="I48" i="69"/>
  <c r="M48" i="69"/>
  <c r="S48" i="69"/>
  <c r="O48" i="69"/>
  <c r="Q48" i="69"/>
  <c r="S61" i="69"/>
  <c r="Q61" i="69"/>
  <c r="O61" i="69"/>
  <c r="E55" i="69" l="1"/>
  <c r="G55" i="69" s="1"/>
  <c r="E51" i="69"/>
  <c r="K51" i="69" s="1"/>
  <c r="K52" i="69" s="1"/>
  <c r="E56" i="69" l="1"/>
  <c r="K56" i="69" s="1"/>
  <c r="E52" i="69"/>
  <c r="G51" i="69"/>
  <c r="G52" i="69" s="1"/>
  <c r="I51" i="69"/>
  <c r="I52" i="69" s="1"/>
  <c r="M51" i="69"/>
  <c r="M52" i="69" s="1"/>
  <c r="O51" i="69"/>
  <c r="O52" i="69" s="1"/>
  <c r="Q51" i="69"/>
  <c r="Q52" i="69" s="1"/>
  <c r="S51" i="69"/>
  <c r="S52" i="69" s="1"/>
  <c r="I55" i="69"/>
  <c r="M55" i="69"/>
  <c r="K55" i="69"/>
  <c r="Q55" i="69" s="1"/>
  <c r="E58" i="69" l="1"/>
  <c r="E62" i="69" s="1"/>
  <c r="E64" i="69" s="1"/>
  <c r="E65" i="69" s="1"/>
  <c r="M56" i="69"/>
  <c r="M58" i="69" s="1"/>
  <c r="M62" i="69" s="1"/>
  <c r="G56" i="69"/>
  <c r="G58" i="69" s="1"/>
  <c r="I56" i="69"/>
  <c r="I58" i="69" s="1"/>
  <c r="I62" i="69" s="1"/>
  <c r="S55" i="69"/>
  <c r="O55" i="69"/>
  <c r="Q56" i="69"/>
  <c r="Q58" i="69" s="1"/>
  <c r="O56" i="69"/>
  <c r="O58" i="69" s="1"/>
  <c r="S56" i="69"/>
  <c r="S58" i="69" s="1"/>
  <c r="K58" i="69"/>
  <c r="K62" i="69" s="1"/>
  <c r="G62" i="69" l="1"/>
  <c r="G64" i="69" s="1"/>
  <c r="G65" i="69" s="1"/>
  <c r="O62" i="69"/>
  <c r="O64" i="69" s="1"/>
  <c r="O65" i="69" s="1"/>
  <c r="Q62" i="69"/>
  <c r="Q64" i="69" s="1"/>
  <c r="Q65" i="69" s="1"/>
  <c r="S62" i="69"/>
  <c r="S64" i="69" s="1"/>
  <c r="S65" i="69" s="1"/>
  <c r="I64" i="69"/>
  <c r="I65" i="69" s="1"/>
  <c r="M64" i="69"/>
  <c r="M65" i="69" s="1"/>
  <c r="K64" i="69" l="1"/>
  <c r="K65" i="69" s="1"/>
  <c r="L72" i="69" s="1"/>
  <c r="I98" i="69" l="1"/>
  <c r="AA98" i="69"/>
  <c r="S98" i="69"/>
  <c r="Q102" i="69"/>
  <c r="U98" i="69"/>
  <c r="S102" i="69"/>
  <c r="K98" i="69"/>
  <c r="Q98" i="69"/>
  <c r="Q72" i="69"/>
  <c r="G102" i="69"/>
  <c r="E98" i="69"/>
  <c r="Y98" i="69"/>
  <c r="I102" i="69"/>
  <c r="O102" i="69"/>
  <c r="E102" i="69"/>
  <c r="Y102" i="69"/>
  <c r="O98" i="69"/>
  <c r="G98" i="69"/>
  <c r="O103" i="69" l="1"/>
  <c r="O100" i="69"/>
  <c r="S100" i="69"/>
  <c r="S103" i="69"/>
  <c r="O99" i="69"/>
  <c r="O89" i="69"/>
  <c r="I103" i="69"/>
  <c r="I100" i="69"/>
  <c r="U89" i="69"/>
  <c r="U99" i="69"/>
  <c r="Y103" i="69"/>
  <c r="Y100" i="69"/>
  <c r="Y89" i="69"/>
  <c r="Y99" i="69"/>
  <c r="Q89" i="69"/>
  <c r="Q99" i="69"/>
  <c r="Q100" i="69"/>
  <c r="Q103" i="69"/>
  <c r="G89" i="69"/>
  <c r="G99" i="69"/>
  <c r="G103" i="69"/>
  <c r="G100" i="69"/>
  <c r="AA89" i="69"/>
  <c r="AA99" i="69"/>
  <c r="I89" i="69"/>
  <c r="I99" i="69"/>
  <c r="E103" i="69"/>
  <c r="E100" i="69"/>
  <c r="E99" i="69"/>
  <c r="E89" i="69"/>
  <c r="K89" i="69"/>
  <c r="K99" i="69"/>
  <c r="S89" i="69"/>
  <c r="S99" i="69"/>
  <c r="O90" i="69" l="1"/>
  <c r="O91" i="69"/>
  <c r="Y90" i="69"/>
  <c r="Y91" i="69"/>
  <c r="U91" i="69"/>
  <c r="U90" i="69"/>
  <c r="E90" i="69"/>
  <c r="E91" i="69"/>
  <c r="S90" i="69"/>
  <c r="S91" i="69"/>
  <c r="I90" i="69"/>
  <c r="I91" i="69"/>
  <c r="K90" i="69"/>
  <c r="K91" i="69"/>
  <c r="AA91" i="69"/>
  <c r="AA90" i="69"/>
  <c r="G90" i="69"/>
  <c r="G91" i="69"/>
  <c r="Q90" i="69"/>
  <c r="Q91" i="69"/>
</calcChain>
</file>

<file path=xl/sharedStrings.xml><?xml version="1.0" encoding="utf-8"?>
<sst xmlns="http://schemas.openxmlformats.org/spreadsheetml/2006/main" count="113" uniqueCount="86">
  <si>
    <t>Téléphone</t>
  </si>
  <si>
    <t>Email</t>
  </si>
  <si>
    <t/>
  </si>
  <si>
    <t>Garanties</t>
  </si>
  <si>
    <t>Nom</t>
  </si>
  <si>
    <t xml:space="preserve">Né le </t>
  </si>
  <si>
    <t>Adresse</t>
  </si>
  <si>
    <t>Prêt à tempérament</t>
  </si>
  <si>
    <t>Prêt travaux</t>
  </si>
  <si>
    <t>Crédit hypothécaire</t>
  </si>
  <si>
    <t>Achat d'un immeuble existant</t>
  </si>
  <si>
    <t>Valeur</t>
  </si>
  <si>
    <t>Main levée</t>
  </si>
  <si>
    <t>Fixe</t>
  </si>
  <si>
    <t xml:space="preserve">Prix d'achat </t>
  </si>
  <si>
    <t xml:space="preserve">Travaux </t>
  </si>
  <si>
    <t>Tva 21%</t>
  </si>
  <si>
    <t>Code postal + Ville</t>
  </si>
  <si>
    <t>NS</t>
  </si>
  <si>
    <t>Montant achat</t>
  </si>
  <si>
    <t>Crédits PAT en cours à racheter</t>
  </si>
  <si>
    <t>Type de prêt crédits en cours</t>
  </si>
  <si>
    <t>Emprunt</t>
  </si>
  <si>
    <t>Durée mois</t>
  </si>
  <si>
    <t>Taux</t>
  </si>
  <si>
    <t>R'boursement</t>
  </si>
  <si>
    <t>1 échéance</t>
  </si>
  <si>
    <t>Solde</t>
  </si>
  <si>
    <t>Achat construction neuve</t>
  </si>
  <si>
    <t>Montant</t>
  </si>
  <si>
    <t>Total</t>
  </si>
  <si>
    <t>Valeur vénale bâtisse achat</t>
  </si>
  <si>
    <t>Devis construction</t>
  </si>
  <si>
    <t>Devis terrain</t>
  </si>
  <si>
    <t>Valeur vénale autre bien</t>
  </si>
  <si>
    <t>Devis garage / cave</t>
  </si>
  <si>
    <t>5/5/5 - cap 2</t>
  </si>
  <si>
    <t>Devis terrain garage / cave</t>
  </si>
  <si>
    <t xml:space="preserve">Garanties mobilières </t>
  </si>
  <si>
    <t>Total terrain garage et ou cave</t>
  </si>
  <si>
    <t>Bruxelles 12.5%</t>
  </si>
  <si>
    <t>Honoraires architecte</t>
  </si>
  <si>
    <t>Wallonie 12.5%</t>
  </si>
  <si>
    <t>Total garanties</t>
  </si>
  <si>
    <t>Raccordement égouts</t>
  </si>
  <si>
    <t>Wallonie 6%</t>
  </si>
  <si>
    <t>Prêt auto</t>
  </si>
  <si>
    <t>Flandre 10%</t>
  </si>
  <si>
    <t>Fonds propres</t>
  </si>
  <si>
    <t>Prix construction neuve</t>
  </si>
  <si>
    <t>Ligne de crédit</t>
  </si>
  <si>
    <t>Flandre 5%</t>
  </si>
  <si>
    <t>90% &lt;= 100%</t>
  </si>
  <si>
    <t>Emprunteur 1</t>
  </si>
  <si>
    <t>Emprunteur 2</t>
  </si>
  <si>
    <t>Emprunteur 3</t>
  </si>
  <si>
    <t>&lt;= 90%</t>
  </si>
  <si>
    <t>Prêt Hypothécaire</t>
  </si>
  <si>
    <t>Wallonie 12,5%</t>
  </si>
  <si>
    <t>Bruxelles 12,5%</t>
  </si>
  <si>
    <t>3/3/3 - cap 2</t>
  </si>
  <si>
    <t>Exemple:</t>
  </si>
  <si>
    <t xml:space="preserve">100.000 € Garanties immobilières: </t>
  </si>
  <si>
    <t xml:space="preserve">Garanties mobilières: </t>
  </si>
  <si>
    <t>60.000 € (pondéré à par eexmple 80 % = 48.000 €)</t>
  </si>
  <si>
    <t>Montant de l’ouverture de crédit: 100000</t>
  </si>
  <si>
    <t>Primes unique Srd 1</t>
  </si>
  <si>
    <t>Primes unique Srd 2</t>
  </si>
  <si>
    <r>
      <t xml:space="preserve">Calcul de la quotité :   </t>
    </r>
    <r>
      <rPr>
        <u/>
        <sz val="9.5"/>
        <color theme="0"/>
        <rFont val="Times New Roman"/>
        <family val="1"/>
      </rPr>
      <t xml:space="preserve">100.000 – 48.000 </t>
    </r>
    <r>
      <rPr>
        <sz val="9.5"/>
        <color theme="0"/>
        <rFont val="Times New Roman"/>
        <family val="1"/>
      </rPr>
      <t xml:space="preserve"> = 52%</t>
    </r>
  </si>
  <si>
    <t>Pondérés</t>
  </si>
  <si>
    <t>Prime caution 1</t>
  </si>
  <si>
    <t>Prime caution 2</t>
  </si>
  <si>
    <t>Bruxelles 12.5% ()</t>
  </si>
  <si>
    <t>Bruxelles 12,5% ()</t>
  </si>
  <si>
    <t>Flandre 10% ()</t>
  </si>
  <si>
    <t>Flandre 5% ()</t>
  </si>
  <si>
    <t>10/5/5 - cap 2</t>
  </si>
  <si>
    <t>exemple du fichier : 111% = résultat cellule E61 = 110.996,91 * 2,75% = 3.052,41</t>
  </si>
  <si>
    <t>par contre si la cellule Q72 &lt; ou = à 100% aucun calcul doit se faire dans la cellule E61</t>
  </si>
  <si>
    <t>les cellules sources sont les E65, G65, I65, K65, M65, O65, Q65, S65</t>
  </si>
  <si>
    <t>La couleur de la cellule L 72 doit être la même que celle de la cellule source - dans ce cas-ci O65</t>
  </si>
  <si>
    <t>la somme de 3.052,41 doit s'additionner avec les autres cellules de la même colonne</t>
  </si>
  <si>
    <t xml:space="preserve">Si le % indiqué dans Q72 est &gt;100% alors je dois obtenir dans la cellule E61  le résultat </t>
  </si>
  <si>
    <t>de 101% à 105% : 2,25%</t>
  </si>
  <si>
    <t xml:space="preserve">de 106% à 115% : 2,75% </t>
  </si>
  <si>
    <t>de 116% à 125% : 3,50%</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</si>
</sst>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6" formatCode="#,##0\ &quot;€&quot;;[Red]\-#,##0\ &quot;€&quot;"/>
    <numFmt numFmtId="8" formatCode="#,##0.00\ &quot;€&quot;;[Red]\-#,##0.00\ &quot;€&quot;"/>
    <numFmt numFmtId="44" formatCode="_-* #,##0.00\ &quot;€&quot;_-;\-* #,##0.00\ &quot;€&quot;_-;_-* &quot;-&quot;??\ &quot;€&quot;_-;_-@_-"/>
    <numFmt numFmtId="164" formatCode="#,##0.00\ &quot;€&quot;"/>
    <numFmt numFmtId="165" formatCode="d/mm/yyyy;@"/>
    <numFmt numFmtId="166" formatCode="#,##0.00\ _€"/>
    <numFmt numFmtId="167" formatCode="0.000%"/>
    <numFmt numFmtId="168" formatCode="0.000"/>
    <numFmt numFmtId="169" formatCode="0.0000%"/>
  </numFmts>
  <fonts count="44" x14ac:knownFonts="1">
    <font>
      <sz val="11"/>
      <color theme="1"/>
      <name val="Calibri"/>
      <family val="2"/>
      <scheme val="minor"/>
    </font>
    <font>
      <sz val="10"/>
      <color theme="1"/>
      <name val="Arial"/>
      <family val="2"/>
    </font>
    <font>
      <sz val="10"/>
      <name val="Arial"/>
      <family val="2"/>
    </font>
    <font>
      <sz val="11"/>
      <name val="Calibri"/>
      <family val="2"/>
      <scheme val="minor"/>
    </font>
    <font>
      <b/>
      <sz val="11"/>
      <name val="Calibri"/>
      <family val="2"/>
      <scheme val="minor"/>
    </font>
    <font>
      <sz val="11"/>
      <color theme="0"/>
      <name val="Calibri"/>
      <family val="2"/>
      <scheme val="minor"/>
    </font>
    <font>
      <u/>
      <sz val="11"/>
      <color theme="10"/>
      <name val="Calibri"/>
      <family val="2"/>
      <scheme val="minor"/>
    </font>
    <font>
      <sz val="11"/>
      <color theme="1"/>
      <name val="Calibri"/>
      <family val="2"/>
      <scheme val="minor"/>
    </font>
    <font>
      <b/>
      <sz val="11"/>
      <color theme="1"/>
      <name val="Calibri"/>
      <family val="2"/>
      <scheme val="minor"/>
    </font>
    <font>
      <sz val="11"/>
      <color theme="2" tint="-9.9978637043366805E-2"/>
      <name val="Calibri"/>
      <family val="2"/>
      <scheme val="minor"/>
    </font>
    <font>
      <b/>
      <sz val="12"/>
      <color theme="0"/>
      <name val="Calibri"/>
      <family val="2"/>
      <scheme val="minor"/>
    </font>
    <font>
      <b/>
      <sz val="11"/>
      <color theme="0"/>
      <name val="Calibri"/>
      <family val="2"/>
      <scheme val="minor"/>
    </font>
    <font>
      <sz val="12"/>
      <color theme="0"/>
      <name val="Calibri"/>
      <family val="2"/>
      <scheme val="minor"/>
    </font>
    <font>
      <sz val="11"/>
      <color rgb="FFFF0000"/>
      <name val="Calibri"/>
      <family val="2"/>
      <scheme val="minor"/>
    </font>
    <font>
      <sz val="10"/>
      <name val="Calibri"/>
      <family val="1"/>
      <scheme val="minor"/>
    </font>
    <font>
      <sz val="11"/>
      <color theme="1"/>
      <name val="Agency FB"/>
      <family val="2"/>
    </font>
    <font>
      <sz val="11"/>
      <color rgb="FF3F3F76"/>
      <name val="Agency FB"/>
      <family val="2"/>
    </font>
    <font>
      <b/>
      <sz val="11"/>
      <color rgb="FFFA7D00"/>
      <name val="Agency FB"/>
      <family val="2"/>
    </font>
    <font>
      <b/>
      <sz val="14"/>
      <color theme="0"/>
      <name val="Calibri"/>
      <family val="2"/>
      <scheme val="minor"/>
    </font>
    <font>
      <b/>
      <sz val="14"/>
      <color theme="1"/>
      <name val="Calibri"/>
      <family val="2"/>
      <scheme val="minor"/>
    </font>
    <font>
      <sz val="10"/>
      <color theme="0"/>
      <name val="Arial"/>
      <family val="2"/>
    </font>
    <font>
      <sz val="16"/>
      <color rgb="FFFF0000"/>
      <name val="Calibri"/>
      <family val="2"/>
      <scheme val="minor"/>
    </font>
    <font>
      <sz val="12"/>
      <name val="Calibri"/>
      <family val="2"/>
      <scheme val="minor"/>
    </font>
    <font>
      <sz val="18"/>
      <color theme="0"/>
      <name val="Calibri"/>
      <family val="2"/>
      <scheme val="minor"/>
    </font>
    <font>
      <sz val="14"/>
      <color theme="0"/>
      <name val="Calibri"/>
      <family val="2"/>
      <scheme val="minor"/>
    </font>
    <font>
      <b/>
      <sz val="14"/>
      <name val="Calibri"/>
      <family val="2"/>
      <scheme val="minor"/>
    </font>
    <font>
      <sz val="9.5"/>
      <color theme="0"/>
      <name val="Times New Roman"/>
      <family val="1"/>
    </font>
    <font>
      <u/>
      <sz val="9.5"/>
      <color theme="0"/>
      <name val="Times New Roman"/>
      <family val="1"/>
    </font>
    <font>
      <sz val="10"/>
      <name val="Calibri"/>
      <family val="2"/>
      <scheme val="minor"/>
    </font>
    <font>
      <b/>
      <u/>
      <sz val="14"/>
      <name val="Calibri"/>
      <family val="2"/>
      <scheme val="minor"/>
    </font>
    <font>
      <b/>
      <sz val="18"/>
      <name val="Calibri"/>
      <family val="2"/>
      <scheme val="minor"/>
    </font>
    <font>
      <b/>
      <sz val="18"/>
      <color theme="0"/>
      <name val="Calibri"/>
      <family val="2"/>
      <scheme val="minor"/>
    </font>
    <font>
      <sz val="16"/>
      <color rgb="FFC00000"/>
      <name val="Calibri"/>
      <family val="2"/>
      <scheme val="minor"/>
    </font>
    <font>
      <b/>
      <sz val="18"/>
      <color theme="7" tint="-0.249977111117893"/>
      <name val="Calibri"/>
      <family val="2"/>
      <scheme val="minor"/>
    </font>
    <font>
      <sz val="11"/>
      <color rgb="FFFFFF99"/>
      <name val="Calibri"/>
      <family val="2"/>
      <scheme val="minor"/>
    </font>
    <font>
      <b/>
      <u/>
      <sz val="14"/>
      <color theme="0"/>
      <name val="Calibri"/>
      <family val="2"/>
      <scheme val="minor"/>
    </font>
    <font>
      <b/>
      <sz val="10"/>
      <color theme="7" tint="0.39997558519241921"/>
      <name val="Calibri"/>
      <family val="2"/>
      <scheme val="minor"/>
    </font>
    <font>
      <sz val="10"/>
      <color theme="7" tint="0.39997558519241921"/>
      <name val="Calibri"/>
      <family val="2"/>
      <scheme val="minor"/>
    </font>
    <font>
      <b/>
      <sz val="10"/>
      <color theme="9" tint="-0.249977111117893"/>
      <name val="Calibri"/>
      <family val="2"/>
      <scheme val="minor"/>
    </font>
    <font>
      <sz val="10"/>
      <color theme="9" tint="-0.249977111117893"/>
      <name val="Calibri"/>
      <family val="2"/>
      <scheme val="minor"/>
    </font>
    <font>
      <b/>
      <sz val="10"/>
      <color theme="4" tint="-0.249977111117893"/>
      <name val="Calibri"/>
      <family val="2"/>
      <scheme val="minor"/>
    </font>
    <font>
      <sz val="10"/>
      <color theme="4" tint="-0.249977111117893"/>
      <name val="Calibri"/>
      <family val="2"/>
      <scheme val="minor"/>
    </font>
    <font>
      <b/>
      <sz val="10"/>
      <color theme="6" tint="-0.499984740745262"/>
      <name val="Calibri"/>
      <family val="2"/>
      <scheme val="minor"/>
    </font>
    <font>
      <sz val="10"/>
      <color theme="6" tint="-0.499984740745262"/>
      <name val="Calibri"/>
      <family val="2"/>
      <scheme val="minor"/>
    </font>
  </fonts>
  <fills count="21">
    <fill>
      <patternFill patternType="none"/>
    </fill>
    <fill>
      <patternFill patternType="gray125"/>
    </fill>
    <fill>
      <patternFill patternType="solid">
        <fgColor theme="0"/>
        <bgColor indexed="64"/>
      </patternFill>
    </fill>
    <fill>
      <patternFill patternType="solid">
        <fgColor rgb="FFFFCC99"/>
      </patternFill>
    </fill>
    <fill>
      <patternFill patternType="solid">
        <fgColor rgb="FFF2F2F2"/>
      </patternFill>
    </fill>
    <fill>
      <patternFill patternType="solid">
        <fgColor theme="6" tint="0.79998168889431442"/>
        <bgColor theme="6" tint="0.79998168889431442"/>
      </patternFill>
    </fill>
    <fill>
      <patternFill patternType="solid">
        <fgColor theme="4"/>
      </patternFill>
    </fill>
    <fill>
      <patternFill patternType="solid">
        <fgColor theme="4" tint="0.59999389629810485"/>
        <bgColor indexed="65"/>
      </patternFill>
    </fill>
    <fill>
      <patternFill patternType="solid">
        <fgColor theme="9" tint="0.79998168889431442"/>
        <bgColor indexed="64"/>
      </patternFill>
    </fill>
    <fill>
      <patternFill patternType="solid">
        <fgColor theme="6" tint="0.39997558519241921"/>
        <bgColor indexed="64"/>
      </patternFill>
    </fill>
    <fill>
      <patternFill patternType="solid">
        <fgColor rgb="FFFFFF99"/>
        <bgColor indexed="64"/>
      </patternFill>
    </fill>
    <fill>
      <patternFill patternType="solid">
        <fgColor theme="9" tint="0.59999389629810485"/>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3" tint="0.79998168889431442"/>
        <bgColor indexed="64"/>
      </patternFill>
    </fill>
    <fill>
      <patternFill patternType="solid">
        <fgColor theme="6" tint="-0.499984740745262"/>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4" tint="-0.249977111117893"/>
        <bgColor indexed="64"/>
      </patternFill>
    </fill>
    <fill>
      <patternFill patternType="solid">
        <fgColor theme="7" tint="0.79998168889431442"/>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style="thin">
        <color indexed="64"/>
      </left>
      <right style="thin">
        <color indexed="64"/>
      </right>
      <top style="thin">
        <color indexed="64"/>
      </top>
      <bottom style="hair">
        <color auto="1"/>
      </bottom>
      <diagonal/>
    </border>
    <border>
      <left style="thin">
        <color rgb="FF7F7F7F"/>
      </left>
      <right style="thin">
        <color rgb="FF7F7F7F"/>
      </right>
      <top style="thin">
        <color rgb="FF7F7F7F"/>
      </top>
      <bottom style="thin">
        <color rgb="FF7F7F7F"/>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hair">
        <color indexed="64"/>
      </top>
      <bottom/>
      <diagonal/>
    </border>
    <border>
      <left style="thin">
        <color indexed="64"/>
      </left>
      <right style="thin">
        <color indexed="64"/>
      </right>
      <top style="hair">
        <color auto="1"/>
      </top>
      <bottom style="hair">
        <color auto="1"/>
      </bottom>
      <diagonal/>
    </border>
    <border>
      <left style="thick">
        <color rgb="FF00B050"/>
      </left>
      <right/>
      <top style="thick">
        <color rgb="FF00B050"/>
      </top>
      <bottom style="hair">
        <color rgb="FF00B050"/>
      </bottom>
      <diagonal/>
    </border>
    <border>
      <left/>
      <right/>
      <top style="thick">
        <color rgb="FF00B050"/>
      </top>
      <bottom style="hair">
        <color rgb="FF00B050"/>
      </bottom>
      <diagonal/>
    </border>
    <border>
      <left/>
      <right style="thick">
        <color rgb="FF00B050"/>
      </right>
      <top style="thick">
        <color rgb="FF00B050"/>
      </top>
      <bottom style="hair">
        <color rgb="FF00B050"/>
      </bottom>
      <diagonal/>
    </border>
    <border>
      <left style="thick">
        <color rgb="FF00B050"/>
      </left>
      <right/>
      <top style="hair">
        <color rgb="FF00B050"/>
      </top>
      <bottom style="thick">
        <color rgb="FF00B050"/>
      </bottom>
      <diagonal/>
    </border>
    <border>
      <left/>
      <right/>
      <top style="hair">
        <color rgb="FF00B050"/>
      </top>
      <bottom style="thick">
        <color rgb="FF00B050"/>
      </bottom>
      <diagonal/>
    </border>
    <border>
      <left/>
      <right style="thick">
        <color rgb="FF00B050"/>
      </right>
      <top style="hair">
        <color rgb="FF00B050"/>
      </top>
      <bottom style="thick">
        <color rgb="FF00B050"/>
      </bottom>
      <diagonal/>
    </border>
    <border>
      <left style="thin">
        <color indexed="64"/>
      </left>
      <right style="thin">
        <color indexed="64"/>
      </right>
      <top/>
      <bottom style="hair">
        <color auto="1"/>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
      <left style="medium">
        <color rgb="FFC00000"/>
      </left>
      <right style="medium">
        <color rgb="FFC00000"/>
      </right>
      <top style="medium">
        <color rgb="FFC00000"/>
      </top>
      <bottom/>
      <diagonal/>
    </border>
    <border>
      <left style="medium">
        <color rgb="FFC00000"/>
      </left>
      <right style="medium">
        <color rgb="FFC00000"/>
      </right>
      <top/>
      <bottom style="medium">
        <color rgb="FFC00000"/>
      </bottom>
      <diagonal/>
    </border>
  </borders>
  <cellStyleXfs count="12">
    <xf numFmtId="0" fontId="0" fillId="0" borderId="0"/>
    <xf numFmtId="0" fontId="2" fillId="0" borderId="0"/>
    <xf numFmtId="0" fontId="6" fillId="0" borderId="0" applyNumberFormat="0" applyFill="0" applyBorder="0" applyAlignment="0" applyProtection="0"/>
    <xf numFmtId="0" fontId="7" fillId="0" borderId="0"/>
    <xf numFmtId="0" fontId="14" fillId="0" borderId="0"/>
    <xf numFmtId="44" fontId="2" fillId="0" borderId="0" applyFont="0" applyFill="0" applyBorder="0" applyAlignment="0" applyProtection="0"/>
    <xf numFmtId="0" fontId="15" fillId="5" borderId="0" applyNumberFormat="0" applyBorder="0" applyAlignment="0" applyProtection="0"/>
    <xf numFmtId="0" fontId="16" fillId="3" borderId="5" applyNumberFormat="0" applyAlignment="0" applyProtection="0"/>
    <xf numFmtId="0" fontId="17" fillId="4" borderId="5" applyNumberFormat="0" applyAlignment="0" applyProtection="0"/>
    <xf numFmtId="0" fontId="20" fillId="6" borderId="0" applyNumberFormat="0" applyBorder="0" applyAlignment="0" applyProtection="0"/>
    <xf numFmtId="0" fontId="1" fillId="7" borderId="0" applyNumberFormat="0" applyBorder="0" applyAlignment="0" applyProtection="0"/>
    <xf numFmtId="0" fontId="7" fillId="0" borderId="0"/>
  </cellStyleXfs>
  <cellXfs count="345">
    <xf numFmtId="0" fontId="0" fillId="0" borderId="0" xfId="0"/>
    <xf numFmtId="0" fontId="0" fillId="0" borderId="0" xfId="0" applyFont="1" applyFill="1" applyBorder="1" applyAlignment="1">
      <alignment horizontal="center" vertical="center"/>
    </xf>
    <xf numFmtId="0" fontId="5" fillId="0" borderId="0" xfId="0" applyFont="1" applyFill="1" applyBorder="1" applyAlignment="1">
      <alignment horizontal="left" vertical="center"/>
    </xf>
    <xf numFmtId="0" fontId="3"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5" fillId="0" borderId="0" xfId="0" applyFont="1" applyFill="1" applyBorder="1" applyAlignment="1">
      <alignment vertical="center"/>
    </xf>
    <xf numFmtId="0" fontId="5" fillId="0" borderId="0" xfId="2" applyFont="1" applyFill="1" applyBorder="1" applyAlignment="1">
      <alignment horizontal="center" vertical="center"/>
    </xf>
    <xf numFmtId="0" fontId="0" fillId="0" borderId="0" xfId="0" applyFont="1" applyFill="1" applyAlignment="1" applyProtection="1">
      <alignment vertical="center"/>
      <protection locked="0"/>
    </xf>
    <xf numFmtId="0" fontId="3" fillId="0" borderId="0" xfId="0" applyFont="1" applyFill="1" applyAlignment="1" applyProtection="1">
      <alignment vertical="center"/>
      <protection locked="0"/>
    </xf>
    <xf numFmtId="0" fontId="9" fillId="0" borderId="0" xfId="0" applyFont="1" applyFill="1" applyAlignment="1" applyProtection="1">
      <alignment vertical="center"/>
      <protection locked="0"/>
    </xf>
    <xf numFmtId="166" fontId="4" fillId="0" borderId="0" xfId="0" applyNumberFormat="1" applyFont="1" applyFill="1" applyBorder="1" applyAlignment="1" applyProtection="1">
      <alignment horizontal="center" vertical="center"/>
    </xf>
    <xf numFmtId="0" fontId="4" fillId="0" borderId="0" xfId="0" applyFont="1" applyFill="1" applyBorder="1" applyAlignment="1" applyProtection="1">
      <alignment horizontal="center" vertical="center"/>
      <protection locked="0"/>
    </xf>
    <xf numFmtId="0" fontId="3" fillId="0" borderId="0" xfId="0" applyFont="1" applyFill="1" applyBorder="1" applyAlignment="1" applyProtection="1">
      <alignment vertical="center"/>
      <protection locked="0"/>
    </xf>
    <xf numFmtId="166" fontId="3" fillId="0" borderId="0" xfId="0" applyNumberFormat="1" applyFont="1" applyFill="1" applyBorder="1" applyAlignment="1">
      <alignment horizontal="center" vertical="center"/>
    </xf>
    <xf numFmtId="10" fontId="3" fillId="0" borderId="0" xfId="0" applyNumberFormat="1" applyFont="1" applyFill="1" applyBorder="1" applyAlignment="1" applyProtection="1">
      <alignment horizontal="center" vertical="center"/>
      <protection locked="0"/>
    </xf>
    <xf numFmtId="166" fontId="3" fillId="0" borderId="0" xfId="0" applyNumberFormat="1" applyFont="1" applyFill="1" applyBorder="1" applyAlignment="1" applyProtection="1">
      <alignment horizontal="center" vertical="center"/>
      <protection locked="0"/>
    </xf>
    <xf numFmtId="0" fontId="0" fillId="0" borderId="0" xfId="0" applyFont="1" applyFill="1" applyBorder="1" applyAlignment="1" applyProtection="1">
      <alignment vertical="center"/>
      <protection locked="0"/>
    </xf>
    <xf numFmtId="0" fontId="8" fillId="0" borderId="0" xfId="0" applyFont="1" applyFill="1" applyBorder="1" applyAlignment="1" applyProtection="1">
      <alignment horizontal="center" vertical="center"/>
      <protection locked="0"/>
    </xf>
    <xf numFmtId="0" fontId="0" fillId="0" borderId="0" xfId="0" applyFont="1" applyFill="1" applyBorder="1" applyAlignment="1" applyProtection="1">
      <alignment horizontal="center" vertical="center"/>
      <protection locked="0"/>
    </xf>
    <xf numFmtId="10" fontId="0" fillId="0" borderId="0" xfId="0" applyNumberFormat="1" applyFont="1" applyFill="1" applyBorder="1" applyAlignment="1" applyProtection="1">
      <alignment horizontal="center" vertical="center"/>
      <protection locked="0"/>
    </xf>
    <xf numFmtId="10" fontId="0" fillId="0" borderId="0" xfId="0" applyNumberFormat="1" applyFont="1" applyFill="1" applyAlignment="1" applyProtection="1">
      <alignment horizontal="center" vertical="center"/>
      <protection locked="0"/>
    </xf>
    <xf numFmtId="166" fontId="0" fillId="0" borderId="0" xfId="0" applyNumberFormat="1" applyFont="1" applyFill="1" applyBorder="1" applyAlignment="1" applyProtection="1">
      <alignment horizontal="center" vertical="center"/>
      <protection locked="0"/>
    </xf>
    <xf numFmtId="0" fontId="3" fillId="0" borderId="0"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protection locked="0"/>
    </xf>
    <xf numFmtId="0" fontId="3" fillId="0" borderId="0" xfId="0" applyFont="1" applyFill="1" applyAlignment="1" applyProtection="1">
      <alignment horizontal="center" vertical="center"/>
      <protection locked="0"/>
    </xf>
    <xf numFmtId="166" fontId="5" fillId="0" borderId="0" xfId="0" applyNumberFormat="1" applyFont="1" applyFill="1" applyBorder="1" applyAlignment="1" applyProtection="1">
      <alignment horizontal="center" vertical="center"/>
    </xf>
    <xf numFmtId="0" fontId="5" fillId="0" borderId="0" xfId="0" applyFont="1" applyFill="1" applyAlignment="1" applyProtection="1">
      <alignment horizontal="center" vertical="center"/>
      <protection locked="0"/>
    </xf>
    <xf numFmtId="10" fontId="5" fillId="0" borderId="0" xfId="0" applyNumberFormat="1" applyFont="1" applyFill="1" applyAlignment="1" applyProtection="1">
      <alignment horizontal="center" vertical="center"/>
      <protection locked="0"/>
    </xf>
    <xf numFmtId="166" fontId="5" fillId="0" borderId="0" xfId="0" applyNumberFormat="1" applyFont="1" applyFill="1" applyBorder="1" applyAlignment="1">
      <alignment horizontal="center" vertical="center"/>
    </xf>
    <xf numFmtId="0" fontId="5" fillId="0" borderId="0" xfId="0" applyFont="1" applyFill="1" applyAlignment="1" applyProtection="1">
      <alignment vertical="center"/>
      <protection locked="0"/>
    </xf>
    <xf numFmtId="0" fontId="11" fillId="0" borderId="0" xfId="0" applyFont="1" applyFill="1" applyAlignment="1" applyProtection="1">
      <alignment horizontal="center" vertical="center"/>
      <protection locked="0"/>
    </xf>
    <xf numFmtId="0" fontId="4" fillId="10" borderId="0" xfId="0" applyFont="1" applyFill="1" applyBorder="1" applyAlignment="1">
      <alignment horizontal="left" vertical="center"/>
    </xf>
    <xf numFmtId="0" fontId="13" fillId="10" borderId="0" xfId="0" applyFont="1" applyFill="1" applyBorder="1" applyAlignment="1">
      <alignment vertical="center"/>
    </xf>
    <xf numFmtId="0" fontId="13" fillId="10" borderId="0" xfId="0" applyFont="1" applyFill="1" applyBorder="1" applyAlignment="1">
      <alignment horizontal="center" vertical="center"/>
    </xf>
    <xf numFmtId="0" fontId="3" fillId="10" borderId="2" xfId="0" applyFont="1" applyFill="1" applyBorder="1" applyAlignment="1" applyProtection="1">
      <alignment vertical="center"/>
      <protection locked="0"/>
    </xf>
    <xf numFmtId="0" fontId="3" fillId="10" borderId="0" xfId="0" applyFont="1" applyFill="1" applyBorder="1" applyAlignment="1" applyProtection="1">
      <alignment vertical="center"/>
      <protection locked="0"/>
    </xf>
    <xf numFmtId="0" fontId="9" fillId="10" borderId="0" xfId="0" applyFont="1" applyFill="1" applyBorder="1" applyAlignment="1" applyProtection="1">
      <alignment vertical="center"/>
      <protection locked="0"/>
    </xf>
    <xf numFmtId="0" fontId="9" fillId="10" borderId="0" xfId="0" applyFont="1" applyFill="1" applyBorder="1" applyAlignment="1" applyProtection="1">
      <alignment horizontal="center" vertical="center"/>
      <protection locked="0"/>
    </xf>
    <xf numFmtId="166" fontId="3" fillId="10" borderId="0" xfId="0" applyNumberFormat="1" applyFont="1" applyFill="1" applyBorder="1" applyAlignment="1" applyProtection="1">
      <alignment horizontal="center" vertical="center"/>
      <protection locked="0"/>
    </xf>
    <xf numFmtId="166" fontId="3" fillId="10" borderId="0" xfId="0" applyNumberFormat="1" applyFont="1" applyFill="1" applyBorder="1" applyAlignment="1" applyProtection="1">
      <alignment horizontal="center" vertical="center"/>
    </xf>
    <xf numFmtId="166" fontId="3" fillId="10" borderId="0" xfId="0" applyNumberFormat="1" applyFont="1" applyFill="1" applyBorder="1" applyAlignment="1">
      <alignment horizontal="center" vertical="center"/>
    </xf>
    <xf numFmtId="0" fontId="13" fillId="10" borderId="0" xfId="0" applyFont="1" applyFill="1" applyBorder="1" applyAlignment="1" applyProtection="1">
      <alignment horizontal="center" vertical="center"/>
      <protection locked="0"/>
    </xf>
    <xf numFmtId="164" fontId="3" fillId="10" borderId="0" xfId="0" applyNumberFormat="1" applyFont="1" applyFill="1" applyBorder="1" applyAlignment="1" applyProtection="1">
      <alignment horizontal="center" vertical="center"/>
      <protection locked="0"/>
    </xf>
    <xf numFmtId="166" fontId="4" fillId="10" borderId="0" xfId="0" applyNumberFormat="1" applyFont="1" applyFill="1" applyBorder="1" applyAlignment="1" applyProtection="1">
      <alignment horizontal="center" vertical="center"/>
      <protection locked="0"/>
    </xf>
    <xf numFmtId="49" fontId="3" fillId="10" borderId="0" xfId="0" applyNumberFormat="1" applyFont="1" applyFill="1" applyBorder="1" applyAlignment="1" applyProtection="1">
      <alignment horizontal="center" vertical="center"/>
      <protection locked="0"/>
    </xf>
    <xf numFmtId="10" fontId="9" fillId="10" borderId="0" xfId="0" applyNumberFormat="1" applyFont="1" applyFill="1" applyBorder="1" applyAlignment="1" applyProtection="1">
      <alignment horizontal="center" vertical="center"/>
    </xf>
    <xf numFmtId="10" fontId="3" fillId="10" borderId="0" xfId="0" applyNumberFormat="1" applyFont="1" applyFill="1" applyBorder="1" applyAlignment="1" applyProtection="1">
      <alignment horizontal="center" vertical="center"/>
    </xf>
    <xf numFmtId="166" fontId="3" fillId="10" borderId="0" xfId="0" applyNumberFormat="1" applyFont="1" applyFill="1" applyBorder="1" applyAlignment="1" applyProtection="1">
      <alignment vertical="center"/>
      <protection locked="0"/>
    </xf>
    <xf numFmtId="10" fontId="13" fillId="10" borderId="0" xfId="0" applyNumberFormat="1" applyFont="1" applyFill="1" applyBorder="1" applyAlignment="1" applyProtection="1">
      <alignment horizontal="center" vertical="center"/>
    </xf>
    <xf numFmtId="0" fontId="5" fillId="2" borderId="0" xfId="0" applyFont="1" applyFill="1" applyBorder="1" applyAlignment="1">
      <alignment horizontal="center" vertical="center"/>
    </xf>
    <xf numFmtId="0" fontId="5" fillId="2" borderId="0" xfId="0" applyFont="1" applyFill="1" applyBorder="1" applyAlignment="1">
      <alignment horizontal="left" vertical="center"/>
    </xf>
    <xf numFmtId="0" fontId="4" fillId="0" borderId="0" xfId="0" applyFont="1" applyFill="1" applyAlignment="1" applyProtection="1">
      <alignment horizontal="center" vertical="center"/>
      <protection locked="0"/>
    </xf>
    <xf numFmtId="0" fontId="3" fillId="0" borderId="0" xfId="0" applyFont="1" applyFill="1" applyBorder="1" applyAlignment="1" applyProtection="1">
      <alignment horizontal="left" vertical="center" wrapText="1"/>
      <protection locked="0"/>
    </xf>
    <xf numFmtId="0" fontId="3" fillId="0" borderId="0" xfId="0" applyFont="1" applyFill="1" applyAlignment="1" applyProtection="1">
      <alignment horizontal="left" vertical="center"/>
      <protection locked="0"/>
    </xf>
    <xf numFmtId="166" fontId="3" fillId="10" borderId="3" xfId="0" applyNumberFormat="1" applyFont="1" applyFill="1" applyBorder="1" applyAlignment="1">
      <alignment horizontal="center" vertical="center"/>
    </xf>
    <xf numFmtId="166" fontId="3" fillId="10" borderId="3" xfId="0" applyNumberFormat="1" applyFont="1" applyFill="1" applyBorder="1" applyAlignment="1" applyProtection="1">
      <alignment horizontal="center" vertical="center"/>
      <protection locked="0"/>
    </xf>
    <xf numFmtId="166" fontId="5" fillId="0" borderId="0" xfId="0" applyNumberFormat="1" applyFont="1" applyFill="1" applyBorder="1" applyAlignment="1" applyProtection="1">
      <alignment horizontal="center" vertical="center"/>
      <protection locked="0"/>
    </xf>
    <xf numFmtId="8" fontId="5" fillId="0" borderId="0" xfId="0" applyNumberFormat="1" applyFont="1" applyFill="1" applyBorder="1" applyAlignment="1" applyProtection="1">
      <alignment horizontal="center" vertical="center"/>
      <protection locked="0"/>
    </xf>
    <xf numFmtId="14" fontId="5" fillId="0" borderId="0" xfId="0" applyNumberFormat="1" applyFont="1" applyFill="1" applyAlignment="1" applyProtection="1">
      <alignment horizontal="center" vertical="center"/>
      <protection locked="0"/>
    </xf>
    <xf numFmtId="168" fontId="5" fillId="0" borderId="0" xfId="0" applyNumberFormat="1" applyFont="1" applyFill="1" applyBorder="1" applyAlignment="1" applyProtection="1">
      <alignment horizontal="center" vertical="center"/>
      <protection locked="0"/>
    </xf>
    <xf numFmtId="1" fontId="5" fillId="0" borderId="0" xfId="0" applyNumberFormat="1" applyFont="1" applyFill="1" applyBorder="1" applyAlignment="1">
      <alignment horizontal="center" vertical="center"/>
    </xf>
    <xf numFmtId="2" fontId="5" fillId="0" borderId="0" xfId="0" applyNumberFormat="1" applyFont="1" applyFill="1" applyBorder="1" applyAlignment="1">
      <alignment horizontal="center"/>
    </xf>
    <xf numFmtId="1" fontId="5" fillId="0" borderId="0" xfId="1" applyNumberFormat="1" applyFont="1" applyFill="1" applyBorder="1" applyAlignment="1">
      <alignment horizontal="center" vertical="center"/>
    </xf>
    <xf numFmtId="0" fontId="5" fillId="0" borderId="0" xfId="0" applyFont="1" applyFill="1" applyBorder="1" applyAlignment="1">
      <alignment horizontal="center"/>
    </xf>
    <xf numFmtId="0" fontId="5" fillId="0" borderId="0" xfId="0" applyFont="1" applyFill="1" applyAlignment="1" applyProtection="1">
      <alignment horizontal="left" vertical="center"/>
      <protection locked="0"/>
    </xf>
    <xf numFmtId="0" fontId="26" fillId="2" borderId="0" xfId="0" applyFont="1" applyFill="1" applyBorder="1" applyAlignment="1">
      <alignment horizontal="left" vertical="center"/>
    </xf>
    <xf numFmtId="0" fontId="5" fillId="2" borderId="0" xfId="0" applyFont="1" applyFill="1" applyBorder="1"/>
    <xf numFmtId="0" fontId="5" fillId="2" borderId="0" xfId="0" applyFont="1" applyFill="1" applyBorder="1" applyAlignment="1" applyProtection="1">
      <alignment vertical="center"/>
      <protection locked="0"/>
    </xf>
    <xf numFmtId="0" fontId="26" fillId="2" borderId="0" xfId="0" applyFont="1" applyFill="1" applyBorder="1" applyAlignment="1">
      <alignment horizontal="left" vertical="center" indent="11"/>
    </xf>
    <xf numFmtId="6" fontId="26" fillId="2" borderId="0" xfId="0" applyNumberFormat="1" applyFont="1" applyFill="1" applyBorder="1" applyAlignment="1">
      <alignment horizontal="left" vertical="center" indent="11"/>
    </xf>
    <xf numFmtId="0" fontId="28" fillId="10" borderId="0" xfId="0" applyFont="1" applyFill="1" applyBorder="1" applyAlignment="1" applyProtection="1">
      <alignment vertical="center"/>
      <protection locked="0"/>
    </xf>
    <xf numFmtId="166" fontId="4" fillId="10" borderId="0" xfId="0" applyNumberFormat="1" applyFont="1" applyFill="1" applyBorder="1" applyAlignment="1" applyProtection="1">
      <alignment horizontal="center" vertical="center"/>
    </xf>
    <xf numFmtId="0" fontId="3" fillId="10" borderId="0" xfId="0" applyFont="1" applyFill="1" applyBorder="1" applyAlignment="1" applyProtection="1">
      <alignment horizontal="center" vertical="center"/>
      <protection locked="0"/>
    </xf>
    <xf numFmtId="167" fontId="5" fillId="0" borderId="0" xfId="1" applyNumberFormat="1" applyFont="1" applyFill="1" applyBorder="1" applyAlignment="1">
      <alignment horizontal="center" vertical="center"/>
    </xf>
    <xf numFmtId="166" fontId="5" fillId="0" borderId="0" xfId="1" applyNumberFormat="1" applyFont="1" applyFill="1" applyBorder="1" applyAlignment="1">
      <alignment horizontal="center" vertical="center"/>
    </xf>
    <xf numFmtId="169" fontId="5" fillId="0" borderId="0" xfId="1" applyNumberFormat="1" applyFont="1" applyFill="1" applyBorder="1" applyAlignment="1">
      <alignment horizontal="center" vertical="center"/>
    </xf>
    <xf numFmtId="0" fontId="5" fillId="0" borderId="0" xfId="0" applyFont="1" applyFill="1" applyBorder="1" applyAlignment="1" applyProtection="1">
      <alignment horizontal="center" vertical="center"/>
      <protection locked="0"/>
    </xf>
    <xf numFmtId="10" fontId="5" fillId="0" borderId="0" xfId="0" applyNumberFormat="1" applyFont="1" applyFill="1" applyBorder="1" applyAlignment="1" applyProtection="1">
      <alignment horizontal="center" vertical="center"/>
    </xf>
    <xf numFmtId="10" fontId="5" fillId="0" borderId="0" xfId="0" applyNumberFormat="1" applyFont="1" applyFill="1" applyBorder="1" applyAlignment="1" applyProtection="1">
      <alignment horizontal="center" vertical="center"/>
      <protection locked="0"/>
    </xf>
    <xf numFmtId="0" fontId="5" fillId="0" borderId="0" xfId="0" applyFont="1" applyFill="1" applyBorder="1" applyAlignment="1" applyProtection="1">
      <alignment vertical="center"/>
      <protection locked="0"/>
    </xf>
    <xf numFmtId="10" fontId="5" fillId="0" borderId="0" xfId="0" applyNumberFormat="1" applyFont="1" applyFill="1" applyBorder="1" applyAlignment="1" applyProtection="1">
      <alignment horizontal="left" vertical="center"/>
      <protection locked="0"/>
    </xf>
    <xf numFmtId="164" fontId="5" fillId="0" borderId="0" xfId="0" applyNumberFormat="1" applyFont="1" applyFill="1" applyBorder="1" applyAlignment="1" applyProtection="1">
      <alignment horizontal="center" vertical="center"/>
      <protection locked="0"/>
    </xf>
    <xf numFmtId="0" fontId="11" fillId="0" borderId="0" xfId="0" applyFont="1" applyFill="1" applyBorder="1" applyAlignment="1" applyProtection="1">
      <alignment horizontal="center" vertical="center"/>
      <protection locked="0"/>
    </xf>
    <xf numFmtId="0" fontId="5" fillId="2" borderId="0" xfId="0" applyFont="1" applyFill="1" applyBorder="1" applyAlignment="1" applyProtection="1">
      <alignment horizontal="center" vertical="center"/>
      <protection locked="0"/>
    </xf>
    <xf numFmtId="0" fontId="0" fillId="10" borderId="0" xfId="0" applyFont="1" applyFill="1" applyBorder="1" applyAlignment="1">
      <alignment horizontal="left" vertical="center"/>
    </xf>
    <xf numFmtId="0" fontId="3" fillId="10" borderId="0" xfId="0" applyFont="1" applyFill="1" applyBorder="1" applyAlignment="1" applyProtection="1">
      <alignment horizontal="left" vertical="center"/>
      <protection locked="0"/>
    </xf>
    <xf numFmtId="0" fontId="3" fillId="10" borderId="0" xfId="0" applyFont="1" applyFill="1" applyBorder="1" applyAlignment="1">
      <alignment horizontal="left" vertical="center"/>
    </xf>
    <xf numFmtId="0" fontId="3" fillId="2" borderId="0" xfId="0" applyFont="1" applyFill="1" applyBorder="1" applyAlignment="1" applyProtection="1">
      <alignment vertical="center"/>
      <protection locked="0"/>
    </xf>
    <xf numFmtId="1" fontId="5" fillId="0" borderId="0" xfId="0" applyNumberFormat="1" applyFont="1" applyFill="1" applyBorder="1" applyAlignment="1">
      <alignment horizontal="left" vertical="center"/>
    </xf>
    <xf numFmtId="0" fontId="5" fillId="0" borderId="0" xfId="0" applyFont="1" applyFill="1" applyBorder="1" applyAlignment="1" applyProtection="1">
      <alignment horizontal="left" vertical="center"/>
      <protection locked="0"/>
    </xf>
    <xf numFmtId="0" fontId="5" fillId="2" borderId="0" xfId="0" applyFont="1" applyFill="1" applyBorder="1" applyAlignment="1" applyProtection="1">
      <alignment horizontal="center" vertical="center" wrapText="1"/>
      <protection locked="0"/>
    </xf>
    <xf numFmtId="0" fontId="3" fillId="2" borderId="0" xfId="0" applyFont="1" applyFill="1" applyAlignment="1" applyProtection="1">
      <alignment vertical="center"/>
      <protection locked="0"/>
    </xf>
    <xf numFmtId="0" fontId="3" fillId="2" borderId="0" xfId="0" applyFont="1" applyFill="1" applyAlignment="1" applyProtection="1">
      <alignment horizontal="left" vertical="center"/>
      <protection locked="0"/>
    </xf>
    <xf numFmtId="0" fontId="3" fillId="2" borderId="0" xfId="0" applyFont="1" applyFill="1" applyAlignment="1" applyProtection="1">
      <alignment horizontal="center" vertical="center"/>
      <protection locked="0"/>
    </xf>
    <xf numFmtId="10" fontId="9" fillId="2" borderId="0" xfId="0" applyNumberFormat="1" applyFont="1" applyFill="1" applyBorder="1" applyAlignment="1" applyProtection="1">
      <alignment horizontal="center" vertical="center"/>
    </xf>
    <xf numFmtId="166" fontId="3" fillId="9" borderId="8" xfId="0" applyNumberFormat="1" applyFont="1" applyFill="1" applyBorder="1" applyAlignment="1" applyProtection="1">
      <alignment horizontal="center" vertical="center"/>
      <protection locked="0"/>
    </xf>
    <xf numFmtId="166" fontId="3" fillId="9" borderId="8" xfId="0" applyNumberFormat="1" applyFont="1" applyFill="1" applyBorder="1" applyAlignment="1">
      <alignment horizontal="center" vertical="center"/>
    </xf>
    <xf numFmtId="166" fontId="3" fillId="9" borderId="8" xfId="0" applyNumberFormat="1" applyFont="1" applyFill="1" applyBorder="1" applyAlignment="1" applyProtection="1">
      <alignment horizontal="center" vertical="center"/>
    </xf>
    <xf numFmtId="166" fontId="4" fillId="9" borderId="6" xfId="0" applyNumberFormat="1" applyFont="1" applyFill="1" applyBorder="1" applyAlignment="1" applyProtection="1">
      <alignment horizontal="center" vertical="center"/>
    </xf>
    <xf numFmtId="166" fontId="3" fillId="9" borderId="4" xfId="0" applyNumberFormat="1" applyFont="1" applyFill="1" applyBorder="1" applyAlignment="1" applyProtection="1">
      <alignment horizontal="center" vertical="center"/>
    </xf>
    <xf numFmtId="166" fontId="4" fillId="9" borderId="6" xfId="0" applyNumberFormat="1" applyFont="1" applyFill="1" applyBorder="1" applyAlignment="1" applyProtection="1">
      <alignment horizontal="center" vertical="center"/>
      <protection locked="0"/>
    </xf>
    <xf numFmtId="166" fontId="3" fillId="9" borderId="7" xfId="0" applyNumberFormat="1" applyFont="1" applyFill="1" applyBorder="1" applyAlignment="1" applyProtection="1">
      <alignment horizontal="center" vertical="center"/>
    </xf>
    <xf numFmtId="166" fontId="3" fillId="9" borderId="15" xfId="0" applyNumberFormat="1" applyFont="1" applyFill="1" applyBorder="1" applyAlignment="1" applyProtection="1">
      <alignment horizontal="center" vertical="center"/>
      <protection locked="0"/>
    </xf>
    <xf numFmtId="0" fontId="3" fillId="9" borderId="4" xfId="0" applyFont="1" applyFill="1" applyBorder="1" applyAlignment="1" applyProtection="1">
      <alignment horizontal="center" vertical="center"/>
      <protection locked="0"/>
    </xf>
    <xf numFmtId="166" fontId="3" fillId="9" borderId="6" xfId="0" applyNumberFormat="1" applyFont="1" applyFill="1" applyBorder="1" applyAlignment="1" applyProtection="1">
      <alignment horizontal="center" vertical="center"/>
      <protection locked="0"/>
    </xf>
    <xf numFmtId="166" fontId="3" fillId="11" borderId="8" xfId="0" applyNumberFormat="1" applyFont="1" applyFill="1" applyBorder="1" applyAlignment="1" applyProtection="1">
      <alignment horizontal="center" vertical="center"/>
      <protection locked="0"/>
    </xf>
    <xf numFmtId="166" fontId="3" fillId="11" borderId="8" xfId="0" applyNumberFormat="1" applyFont="1" applyFill="1" applyBorder="1" applyAlignment="1">
      <alignment horizontal="center" vertical="center"/>
    </xf>
    <xf numFmtId="166" fontId="3" fillId="11" borderId="8" xfId="0" applyNumberFormat="1" applyFont="1" applyFill="1" applyBorder="1" applyAlignment="1" applyProtection="1">
      <alignment horizontal="center" vertical="center"/>
    </xf>
    <xf numFmtId="166" fontId="4" fillId="11" borderId="6" xfId="0" applyNumberFormat="1" applyFont="1" applyFill="1" applyBorder="1" applyAlignment="1" applyProtection="1">
      <alignment horizontal="center" vertical="center"/>
    </xf>
    <xf numFmtId="166" fontId="3" fillId="11" borderId="4" xfId="0" applyNumberFormat="1" applyFont="1" applyFill="1" applyBorder="1" applyAlignment="1" applyProtection="1">
      <alignment horizontal="center" vertical="center"/>
    </xf>
    <xf numFmtId="166" fontId="4" fillId="11" borderId="6" xfId="0" applyNumberFormat="1" applyFont="1" applyFill="1" applyBorder="1" applyAlignment="1" applyProtection="1">
      <alignment horizontal="center" vertical="center"/>
      <protection locked="0"/>
    </xf>
    <xf numFmtId="166" fontId="3" fillId="11" borderId="7" xfId="0" applyNumberFormat="1" applyFont="1" applyFill="1" applyBorder="1" applyAlignment="1" applyProtection="1">
      <alignment horizontal="center" vertical="center"/>
    </xf>
    <xf numFmtId="166" fontId="3" fillId="11" borderId="15" xfId="0" applyNumberFormat="1" applyFont="1" applyFill="1" applyBorder="1" applyAlignment="1" applyProtection="1">
      <alignment horizontal="center" vertical="center"/>
      <protection locked="0"/>
    </xf>
    <xf numFmtId="0" fontId="3" fillId="11" borderId="4" xfId="0" applyFont="1" applyFill="1" applyBorder="1" applyAlignment="1" applyProtection="1">
      <alignment horizontal="center" vertical="center"/>
      <protection locked="0"/>
    </xf>
    <xf numFmtId="166" fontId="3" fillId="11" borderId="6" xfId="0" applyNumberFormat="1" applyFont="1" applyFill="1" applyBorder="1" applyAlignment="1" applyProtection="1">
      <alignment horizontal="center" vertical="center"/>
      <protection locked="0"/>
    </xf>
    <xf numFmtId="164" fontId="3" fillId="9" borderId="8" xfId="0" applyNumberFormat="1" applyFont="1" applyFill="1" applyBorder="1" applyAlignment="1" applyProtection="1">
      <alignment horizontal="center" vertical="center"/>
      <protection locked="0"/>
    </xf>
    <xf numFmtId="166" fontId="3" fillId="13" borderId="8" xfId="0" applyNumberFormat="1" applyFont="1" applyFill="1" applyBorder="1" applyAlignment="1" applyProtection="1">
      <alignment horizontal="center" vertical="center"/>
      <protection locked="0"/>
    </xf>
    <xf numFmtId="166" fontId="3" fillId="13" borderId="8" xfId="0" applyNumberFormat="1" applyFont="1" applyFill="1" applyBorder="1" applyAlignment="1">
      <alignment horizontal="center" vertical="center"/>
    </xf>
    <xf numFmtId="166" fontId="3" fillId="13" borderId="8" xfId="0" applyNumberFormat="1" applyFont="1" applyFill="1" applyBorder="1" applyAlignment="1" applyProtection="1">
      <alignment horizontal="center" vertical="center"/>
    </xf>
    <xf numFmtId="166" fontId="4" fillId="13" borderId="6" xfId="0" applyNumberFormat="1" applyFont="1" applyFill="1" applyBorder="1" applyAlignment="1" applyProtection="1">
      <alignment horizontal="center" vertical="center"/>
    </xf>
    <xf numFmtId="166" fontId="3" fillId="13" borderId="4" xfId="0" applyNumberFormat="1" applyFont="1" applyFill="1" applyBorder="1" applyAlignment="1" applyProtection="1">
      <alignment horizontal="center" vertical="center"/>
    </xf>
    <xf numFmtId="166" fontId="4" fillId="13" borderId="6" xfId="0" applyNumberFormat="1" applyFont="1" applyFill="1" applyBorder="1" applyAlignment="1" applyProtection="1">
      <alignment horizontal="center" vertical="center"/>
      <protection locked="0"/>
    </xf>
    <xf numFmtId="166" fontId="3" fillId="13" borderId="7" xfId="0" applyNumberFormat="1" applyFont="1" applyFill="1" applyBorder="1" applyAlignment="1" applyProtection="1">
      <alignment horizontal="center" vertical="center"/>
    </xf>
    <xf numFmtId="0" fontId="3" fillId="13" borderId="4" xfId="0" applyFont="1" applyFill="1" applyBorder="1" applyAlignment="1" applyProtection="1">
      <alignment horizontal="center" vertical="center"/>
      <protection locked="0"/>
    </xf>
    <xf numFmtId="166" fontId="3" fillId="13" borderId="6" xfId="0" applyNumberFormat="1" applyFont="1" applyFill="1" applyBorder="1" applyAlignment="1" applyProtection="1">
      <alignment horizontal="center" vertical="center"/>
      <protection locked="0"/>
    </xf>
    <xf numFmtId="166" fontId="3" fillId="13" borderId="15" xfId="0" applyNumberFormat="1" applyFont="1" applyFill="1" applyBorder="1" applyAlignment="1" applyProtection="1">
      <alignment horizontal="center" vertical="center"/>
      <protection locked="0"/>
    </xf>
    <xf numFmtId="166" fontId="3" fillId="14" borderId="8" xfId="0" applyNumberFormat="1" applyFont="1" applyFill="1" applyBorder="1" applyAlignment="1">
      <alignment horizontal="center" vertical="center"/>
    </xf>
    <xf numFmtId="166" fontId="3" fillId="14" borderId="8" xfId="0" applyNumberFormat="1" applyFont="1" applyFill="1" applyBorder="1" applyAlignment="1" applyProtection="1">
      <alignment horizontal="center" vertical="center"/>
    </xf>
    <xf numFmtId="166" fontId="4" fillId="14" borderId="6" xfId="0" applyNumberFormat="1" applyFont="1" applyFill="1" applyBorder="1" applyAlignment="1" applyProtection="1">
      <alignment horizontal="center" vertical="center"/>
    </xf>
    <xf numFmtId="166" fontId="3" fillId="14" borderId="4" xfId="0" applyNumberFormat="1" applyFont="1" applyFill="1" applyBorder="1" applyAlignment="1" applyProtection="1">
      <alignment horizontal="center" vertical="center"/>
    </xf>
    <xf numFmtId="166" fontId="4" fillId="14" borderId="6" xfId="0" applyNumberFormat="1" applyFont="1" applyFill="1" applyBorder="1" applyAlignment="1" applyProtection="1">
      <alignment horizontal="center" vertical="center"/>
      <protection locked="0"/>
    </xf>
    <xf numFmtId="166" fontId="3" fillId="14" borderId="7" xfId="0" applyNumberFormat="1" applyFont="1" applyFill="1" applyBorder="1" applyAlignment="1" applyProtection="1">
      <alignment horizontal="center" vertical="center"/>
    </xf>
    <xf numFmtId="166" fontId="3" fillId="14" borderId="15" xfId="0" applyNumberFormat="1" applyFont="1" applyFill="1" applyBorder="1" applyAlignment="1" applyProtection="1">
      <alignment horizontal="center" vertical="center"/>
    </xf>
    <xf numFmtId="0" fontId="3" fillId="14" borderId="4" xfId="0" applyFont="1" applyFill="1" applyBorder="1" applyAlignment="1" applyProtection="1">
      <alignment horizontal="center" vertical="center"/>
      <protection locked="0"/>
    </xf>
    <xf numFmtId="166" fontId="3" fillId="14" borderId="6" xfId="0" applyNumberFormat="1" applyFont="1" applyFill="1" applyBorder="1" applyAlignment="1" applyProtection="1">
      <alignment horizontal="center" vertical="center"/>
      <protection locked="0"/>
    </xf>
    <xf numFmtId="10" fontId="3" fillId="9" borderId="15" xfId="0" applyNumberFormat="1" applyFont="1" applyFill="1" applyBorder="1" applyAlignment="1" applyProtection="1">
      <alignment horizontal="center" vertical="center"/>
      <protection locked="0"/>
    </xf>
    <xf numFmtId="10" fontId="3" fillId="11" borderId="15" xfId="0" applyNumberFormat="1" applyFont="1" applyFill="1" applyBorder="1" applyAlignment="1" applyProtection="1">
      <alignment horizontal="center" vertical="center"/>
      <protection locked="0"/>
    </xf>
    <xf numFmtId="10" fontId="3" fillId="18" borderId="15" xfId="0" applyNumberFormat="1" applyFont="1" applyFill="1" applyBorder="1" applyAlignment="1" applyProtection="1">
      <alignment horizontal="center" vertical="center"/>
      <protection locked="0"/>
    </xf>
    <xf numFmtId="164" fontId="3" fillId="18" borderId="8" xfId="0" applyNumberFormat="1" applyFont="1" applyFill="1" applyBorder="1" applyAlignment="1" applyProtection="1">
      <alignment horizontal="center" vertical="center"/>
      <protection locked="0"/>
    </xf>
    <xf numFmtId="166" fontId="3" fillId="18" borderId="8" xfId="0" applyNumberFormat="1" applyFont="1" applyFill="1" applyBorder="1" applyAlignment="1">
      <alignment horizontal="center" vertical="center"/>
    </xf>
    <xf numFmtId="166" fontId="3" fillId="18" borderId="8" xfId="0" applyNumberFormat="1" applyFont="1" applyFill="1" applyBorder="1" applyAlignment="1" applyProtection="1">
      <alignment horizontal="center" vertical="center"/>
    </xf>
    <xf numFmtId="166" fontId="4" fillId="18" borderId="6" xfId="0" applyNumberFormat="1" applyFont="1" applyFill="1" applyBorder="1" applyAlignment="1" applyProtection="1">
      <alignment horizontal="center" vertical="center"/>
    </xf>
    <xf numFmtId="166" fontId="3" fillId="18" borderId="8" xfId="0" applyNumberFormat="1" applyFont="1" applyFill="1" applyBorder="1" applyAlignment="1" applyProtection="1">
      <alignment horizontal="center" vertical="center"/>
      <protection locked="0"/>
    </xf>
    <xf numFmtId="166" fontId="3" fillId="18" borderId="4" xfId="0" applyNumberFormat="1" applyFont="1" applyFill="1" applyBorder="1" applyAlignment="1" applyProtection="1">
      <alignment horizontal="center" vertical="center"/>
    </xf>
    <xf numFmtId="166" fontId="4" fillId="18" borderId="6" xfId="0" applyNumberFormat="1" applyFont="1" applyFill="1" applyBorder="1" applyAlignment="1" applyProtection="1">
      <alignment horizontal="center" vertical="center"/>
      <protection locked="0"/>
    </xf>
    <xf numFmtId="166" fontId="3" fillId="18" borderId="7" xfId="0" applyNumberFormat="1" applyFont="1" applyFill="1" applyBorder="1" applyAlignment="1" applyProtection="1">
      <alignment horizontal="center" vertical="center"/>
    </xf>
    <xf numFmtId="166" fontId="3" fillId="18" borderId="15" xfId="0" applyNumberFormat="1" applyFont="1" applyFill="1" applyBorder="1" applyAlignment="1" applyProtection="1">
      <alignment horizontal="center" vertical="center"/>
      <protection locked="0"/>
    </xf>
    <xf numFmtId="0" fontId="3" fillId="18" borderId="4" xfId="0" applyFont="1" applyFill="1" applyBorder="1" applyAlignment="1" applyProtection="1">
      <alignment horizontal="center" vertical="center"/>
      <protection locked="0"/>
    </xf>
    <xf numFmtId="166" fontId="3" fillId="18" borderId="6" xfId="0" applyNumberFormat="1" applyFont="1" applyFill="1" applyBorder="1" applyAlignment="1" applyProtection="1">
      <alignment horizontal="center" vertical="center"/>
      <protection locked="0"/>
    </xf>
    <xf numFmtId="10" fontId="3" fillId="15" borderId="15" xfId="0" applyNumberFormat="1" applyFont="1" applyFill="1" applyBorder="1" applyAlignment="1" applyProtection="1">
      <alignment horizontal="center" vertical="center"/>
      <protection locked="0"/>
    </xf>
    <xf numFmtId="166" fontId="3" fillId="15" borderId="8" xfId="0" applyNumberFormat="1" applyFont="1" applyFill="1" applyBorder="1" applyAlignment="1">
      <alignment horizontal="center" vertical="center"/>
    </xf>
    <xf numFmtId="166" fontId="3" fillId="15" borderId="8" xfId="0" applyNumberFormat="1" applyFont="1" applyFill="1" applyBorder="1" applyAlignment="1" applyProtection="1">
      <alignment horizontal="center" vertical="center"/>
    </xf>
    <xf numFmtId="166" fontId="4" fillId="15" borderId="6" xfId="0" applyNumberFormat="1" applyFont="1" applyFill="1" applyBorder="1" applyAlignment="1" applyProtection="1">
      <alignment horizontal="center" vertical="center"/>
    </xf>
    <xf numFmtId="166" fontId="3" fillId="15" borderId="8" xfId="0" applyNumberFormat="1" applyFont="1" applyFill="1" applyBorder="1" applyAlignment="1" applyProtection="1">
      <alignment horizontal="center" vertical="center"/>
      <protection locked="0"/>
    </xf>
    <xf numFmtId="166" fontId="3" fillId="15" borderId="4" xfId="0" applyNumberFormat="1" applyFont="1" applyFill="1" applyBorder="1" applyAlignment="1" applyProtection="1">
      <alignment horizontal="center" vertical="center"/>
    </xf>
    <xf numFmtId="166" fontId="4" fillId="15" borderId="6" xfId="0" applyNumberFormat="1" applyFont="1" applyFill="1" applyBorder="1" applyAlignment="1" applyProtection="1">
      <alignment horizontal="center" vertical="center"/>
      <protection locked="0"/>
    </xf>
    <xf numFmtId="166" fontId="3" fillId="15" borderId="7" xfId="0" applyNumberFormat="1" applyFont="1" applyFill="1" applyBorder="1" applyAlignment="1" applyProtection="1">
      <alignment horizontal="center" vertical="center"/>
    </xf>
    <xf numFmtId="166" fontId="3" fillId="15" borderId="15" xfId="0" applyNumberFormat="1" applyFont="1" applyFill="1" applyBorder="1" applyAlignment="1" applyProtection="1">
      <alignment horizontal="center" vertical="center"/>
      <protection locked="0"/>
    </xf>
    <xf numFmtId="0" fontId="3" fillId="15" borderId="4" xfId="0" applyFont="1" applyFill="1" applyBorder="1" applyAlignment="1" applyProtection="1">
      <alignment horizontal="center" vertical="center"/>
      <protection locked="0"/>
    </xf>
    <xf numFmtId="166" fontId="3" fillId="15" borderId="6" xfId="0" applyNumberFormat="1" applyFont="1" applyFill="1" applyBorder="1" applyAlignment="1" applyProtection="1">
      <alignment horizontal="center" vertical="center"/>
      <protection locked="0"/>
    </xf>
    <xf numFmtId="10" fontId="3" fillId="14" borderId="15" xfId="0" applyNumberFormat="1" applyFont="1" applyFill="1" applyBorder="1" applyAlignment="1" applyProtection="1">
      <alignment horizontal="center" vertical="center"/>
      <protection locked="0"/>
    </xf>
    <xf numFmtId="10" fontId="3" fillId="13" borderId="15" xfId="0" applyNumberFormat="1" applyFont="1" applyFill="1" applyBorder="1" applyAlignment="1" applyProtection="1">
      <alignment horizontal="center" vertical="center"/>
      <protection locked="0"/>
    </xf>
    <xf numFmtId="10" fontId="3" fillId="20" borderId="15" xfId="0" applyNumberFormat="1" applyFont="1" applyFill="1" applyBorder="1" applyAlignment="1" applyProtection="1">
      <alignment horizontal="center" vertical="center"/>
      <protection locked="0"/>
    </xf>
    <xf numFmtId="166" fontId="3" fillId="20" borderId="8" xfId="0" applyNumberFormat="1" applyFont="1" applyFill="1" applyBorder="1" applyAlignment="1" applyProtection="1">
      <alignment horizontal="center" vertical="center"/>
      <protection locked="0"/>
    </xf>
    <xf numFmtId="166" fontId="3" fillId="20" borderId="8" xfId="0" applyNumberFormat="1" applyFont="1" applyFill="1" applyBorder="1" applyAlignment="1">
      <alignment horizontal="center" vertical="center"/>
    </xf>
    <xf numFmtId="166" fontId="3" fillId="20" borderId="8" xfId="0" applyNumberFormat="1" applyFont="1" applyFill="1" applyBorder="1" applyAlignment="1" applyProtection="1">
      <alignment horizontal="center" vertical="center"/>
    </xf>
    <xf numFmtId="166" fontId="4" fillId="20" borderId="6" xfId="0" applyNumberFormat="1" applyFont="1" applyFill="1" applyBorder="1" applyAlignment="1" applyProtection="1">
      <alignment horizontal="center" vertical="center"/>
    </xf>
    <xf numFmtId="166" fontId="3" fillId="20" borderId="4" xfId="0" applyNumberFormat="1" applyFont="1" applyFill="1" applyBorder="1" applyAlignment="1" applyProtection="1">
      <alignment horizontal="center" vertical="center"/>
    </xf>
    <xf numFmtId="166" fontId="4" fillId="20" borderId="6" xfId="0" applyNumberFormat="1" applyFont="1" applyFill="1" applyBorder="1" applyAlignment="1" applyProtection="1">
      <alignment horizontal="center" vertical="center"/>
      <protection locked="0"/>
    </xf>
    <xf numFmtId="166" fontId="3" fillId="20" borderId="7" xfId="0" applyNumberFormat="1" applyFont="1" applyFill="1" applyBorder="1" applyAlignment="1" applyProtection="1">
      <alignment horizontal="center" vertical="center"/>
    </xf>
    <xf numFmtId="166" fontId="3" fillId="20" borderId="15" xfId="0" applyNumberFormat="1" applyFont="1" applyFill="1" applyBorder="1" applyAlignment="1" applyProtection="1">
      <alignment horizontal="center" vertical="center"/>
      <protection locked="0"/>
    </xf>
    <xf numFmtId="0" fontId="3" fillId="20" borderId="4" xfId="0" applyFont="1" applyFill="1" applyBorder="1" applyAlignment="1" applyProtection="1">
      <alignment horizontal="center" vertical="center"/>
      <protection locked="0"/>
    </xf>
    <xf numFmtId="166" fontId="3" fillId="20" borderId="6" xfId="0" applyNumberFormat="1" applyFont="1" applyFill="1" applyBorder="1" applyAlignment="1" applyProtection="1">
      <alignment horizontal="center" vertical="center"/>
      <protection locked="0"/>
    </xf>
    <xf numFmtId="166" fontId="4" fillId="11" borderId="8" xfId="0" applyNumberFormat="1" applyFont="1" applyFill="1" applyBorder="1" applyAlignment="1" applyProtection="1">
      <alignment horizontal="center" vertical="center"/>
      <protection locked="0"/>
    </xf>
    <xf numFmtId="166" fontId="3" fillId="9" borderId="6" xfId="0" applyNumberFormat="1" applyFont="1" applyFill="1" applyBorder="1" applyAlignment="1" applyProtection="1">
      <alignment horizontal="center" vertical="center"/>
    </xf>
    <xf numFmtId="166" fontId="3" fillId="15" borderId="6" xfId="0" applyNumberFormat="1" applyFont="1" applyFill="1" applyBorder="1" applyAlignment="1" applyProtection="1">
      <alignment horizontal="center" vertical="center"/>
    </xf>
    <xf numFmtId="166" fontId="3" fillId="11" borderId="6" xfId="0" applyNumberFormat="1" applyFont="1" applyFill="1" applyBorder="1" applyAlignment="1" applyProtection="1">
      <alignment horizontal="center" vertical="center"/>
    </xf>
    <xf numFmtId="166" fontId="3" fillId="20" borderId="6" xfId="0" applyNumberFormat="1" applyFont="1" applyFill="1" applyBorder="1" applyAlignment="1" applyProtection="1">
      <alignment horizontal="center" vertical="center"/>
    </xf>
    <xf numFmtId="169" fontId="28" fillId="10" borderId="0" xfId="0" applyNumberFormat="1" applyFont="1" applyFill="1" applyBorder="1" applyAlignment="1" applyProtection="1">
      <alignment horizontal="center" vertical="center"/>
      <protection locked="0"/>
    </xf>
    <xf numFmtId="0" fontId="28" fillId="10" borderId="0" xfId="0" applyFont="1" applyFill="1" applyBorder="1" applyAlignment="1" applyProtection="1">
      <alignment horizontal="center" vertical="center"/>
      <protection locked="0"/>
    </xf>
    <xf numFmtId="166" fontId="4" fillId="14" borderId="8" xfId="0" applyNumberFormat="1" applyFont="1" applyFill="1" applyBorder="1" applyAlignment="1" applyProtection="1">
      <alignment horizontal="center" vertical="center"/>
      <protection locked="0"/>
    </xf>
    <xf numFmtId="166" fontId="3" fillId="14" borderId="6" xfId="0" applyNumberFormat="1" applyFont="1" applyFill="1" applyBorder="1" applyAlignment="1" applyProtection="1">
      <alignment horizontal="center" vertical="center"/>
    </xf>
    <xf numFmtId="166" fontId="3" fillId="18" borderId="6" xfId="0" applyNumberFormat="1" applyFont="1" applyFill="1" applyBorder="1" applyAlignment="1" applyProtection="1">
      <alignment horizontal="center" vertical="center"/>
    </xf>
    <xf numFmtId="10" fontId="3" fillId="8" borderId="15" xfId="0" applyNumberFormat="1" applyFont="1" applyFill="1" applyBorder="1" applyAlignment="1" applyProtection="1">
      <alignment horizontal="center" vertical="center"/>
      <protection locked="0"/>
    </xf>
    <xf numFmtId="166" fontId="4" fillId="8" borderId="8" xfId="0" applyNumberFormat="1" applyFont="1" applyFill="1" applyBorder="1" applyAlignment="1" applyProtection="1">
      <alignment horizontal="center" vertical="center"/>
      <protection locked="0"/>
    </xf>
    <xf numFmtId="166" fontId="3" fillId="8" borderId="8" xfId="0" applyNumberFormat="1" applyFont="1" applyFill="1" applyBorder="1" applyAlignment="1">
      <alignment horizontal="center" vertical="center"/>
    </xf>
    <xf numFmtId="166" fontId="3" fillId="8" borderId="8" xfId="0" applyNumberFormat="1" applyFont="1" applyFill="1" applyBorder="1" applyAlignment="1" applyProtection="1">
      <alignment horizontal="center" vertical="center"/>
    </xf>
    <xf numFmtId="166" fontId="3" fillId="8" borderId="6" xfId="0" applyNumberFormat="1" applyFont="1" applyFill="1" applyBorder="1" applyAlignment="1" applyProtection="1">
      <alignment horizontal="center" vertical="center"/>
    </xf>
    <xf numFmtId="166" fontId="3" fillId="8" borderId="4" xfId="0" applyNumberFormat="1" applyFont="1" applyFill="1" applyBorder="1" applyAlignment="1" applyProtection="1">
      <alignment horizontal="center" vertical="center"/>
    </xf>
    <xf numFmtId="166" fontId="3" fillId="8" borderId="8" xfId="0" applyNumberFormat="1" applyFont="1" applyFill="1" applyBorder="1" applyAlignment="1" applyProtection="1">
      <alignment horizontal="center" vertical="center"/>
      <protection locked="0"/>
    </xf>
    <xf numFmtId="166" fontId="4" fillId="8" borderId="6" xfId="0" applyNumberFormat="1" applyFont="1" applyFill="1" applyBorder="1" applyAlignment="1" applyProtection="1">
      <alignment horizontal="center" vertical="center"/>
      <protection locked="0"/>
    </xf>
    <xf numFmtId="166" fontId="3" fillId="8" borderId="7" xfId="0" applyNumberFormat="1" applyFont="1" applyFill="1" applyBorder="1" applyAlignment="1" applyProtection="1">
      <alignment horizontal="center" vertical="center"/>
    </xf>
    <xf numFmtId="166" fontId="3" fillId="8" borderId="15" xfId="0" applyNumberFormat="1" applyFont="1" applyFill="1" applyBorder="1" applyAlignment="1" applyProtection="1">
      <alignment horizontal="center" vertical="center"/>
      <protection locked="0"/>
    </xf>
    <xf numFmtId="166" fontId="4" fillId="8" borderId="6" xfId="0" applyNumberFormat="1" applyFont="1" applyFill="1" applyBorder="1" applyAlignment="1" applyProtection="1">
      <alignment horizontal="center" vertical="center"/>
    </xf>
    <xf numFmtId="0" fontId="3" fillId="8" borderId="4" xfId="0" applyFont="1" applyFill="1" applyBorder="1" applyAlignment="1" applyProtection="1">
      <alignment horizontal="center" vertical="center"/>
      <protection locked="0"/>
    </xf>
    <xf numFmtId="166" fontId="3" fillId="8" borderId="6" xfId="0" applyNumberFormat="1" applyFont="1" applyFill="1" applyBorder="1" applyAlignment="1" applyProtection="1">
      <alignment horizontal="center" vertical="center"/>
      <protection locked="0"/>
    </xf>
    <xf numFmtId="166" fontId="3" fillId="13" borderId="6" xfId="0" applyNumberFormat="1" applyFont="1" applyFill="1" applyBorder="1" applyAlignment="1" applyProtection="1">
      <alignment horizontal="center" vertical="center"/>
    </xf>
    <xf numFmtId="0" fontId="30" fillId="10" borderId="0" xfId="0" applyFont="1" applyFill="1" applyBorder="1" applyAlignment="1" applyProtection="1">
      <alignment horizontal="center" vertical="center"/>
      <protection locked="0"/>
    </xf>
    <xf numFmtId="0" fontId="30" fillId="10" borderId="0" xfId="0" applyFont="1" applyFill="1" applyBorder="1" applyAlignment="1">
      <alignment horizontal="center" vertical="center"/>
    </xf>
    <xf numFmtId="0" fontId="0" fillId="10" borderId="0" xfId="0" applyFill="1" applyBorder="1" applyAlignment="1">
      <alignment vertical="center"/>
    </xf>
    <xf numFmtId="0" fontId="4" fillId="10" borderId="0" xfId="0" applyFont="1" applyFill="1" applyBorder="1" applyAlignment="1">
      <alignment vertical="center"/>
    </xf>
    <xf numFmtId="0" fontId="4" fillId="10" borderId="0" xfId="0" applyFont="1" applyFill="1" applyBorder="1" applyAlignment="1" applyProtection="1">
      <alignment horizontal="center" vertical="center"/>
      <protection locked="0"/>
    </xf>
    <xf numFmtId="164" fontId="25" fillId="10" borderId="0" xfId="0" applyNumberFormat="1" applyFont="1" applyFill="1" applyBorder="1" applyAlignment="1" applyProtection="1">
      <alignment horizontal="center" vertical="center"/>
      <protection locked="0"/>
    </xf>
    <xf numFmtId="164" fontId="3" fillId="2" borderId="12" xfId="0" applyNumberFormat="1" applyFont="1" applyFill="1" applyBorder="1" applyAlignment="1" applyProtection="1">
      <alignment horizontal="center" vertical="center"/>
      <protection locked="0"/>
    </xf>
    <xf numFmtId="0" fontId="0" fillId="2" borderId="13" xfId="0" applyFill="1" applyBorder="1" applyAlignment="1">
      <alignment horizontal="center" vertical="center"/>
    </xf>
    <xf numFmtId="0" fontId="0" fillId="2" borderId="14" xfId="0" applyFill="1" applyBorder="1" applyAlignment="1">
      <alignment horizontal="center" vertical="center"/>
    </xf>
    <xf numFmtId="0" fontId="3" fillId="10" borderId="0" xfId="0" applyFont="1" applyFill="1" applyBorder="1" applyAlignment="1" applyProtection="1">
      <alignment horizontal="left" vertical="center"/>
      <protection locked="0"/>
    </xf>
    <xf numFmtId="0" fontId="0" fillId="10" borderId="0" xfId="0" applyFont="1" applyFill="1" applyBorder="1" applyAlignment="1" applyProtection="1">
      <alignment horizontal="left" vertical="center"/>
      <protection locked="0"/>
    </xf>
    <xf numFmtId="1" fontId="3" fillId="2" borderId="9" xfId="0" applyNumberFormat="1" applyFont="1" applyFill="1" applyBorder="1" applyAlignment="1" applyProtection="1">
      <alignment horizontal="center" vertical="center"/>
      <protection locked="0"/>
    </xf>
    <xf numFmtId="1" fontId="0" fillId="2" borderId="10" xfId="0" applyNumberFormat="1" applyFill="1" applyBorder="1" applyAlignment="1">
      <alignment horizontal="center" vertical="center"/>
    </xf>
    <xf numFmtId="1" fontId="0" fillId="2" borderId="11" xfId="0" applyNumberFormat="1" applyFill="1" applyBorder="1" applyAlignment="1">
      <alignment horizontal="center" vertical="center"/>
    </xf>
    <xf numFmtId="0" fontId="0" fillId="10" borderId="0" xfId="0" applyFill="1" applyBorder="1" applyAlignment="1">
      <alignment vertical="center"/>
    </xf>
    <xf numFmtId="0" fontId="4" fillId="10" borderId="0" xfId="0" applyFont="1" applyFill="1" applyBorder="1" applyAlignment="1">
      <alignment vertical="center"/>
    </xf>
    <xf numFmtId="0" fontId="0" fillId="10" borderId="0" xfId="0" applyFont="1" applyFill="1" applyBorder="1" applyAlignment="1" applyProtection="1">
      <alignment horizontal="left" vertical="center"/>
      <protection locked="0"/>
    </xf>
    <xf numFmtId="0" fontId="22" fillId="10" borderId="0" xfId="0" applyFont="1" applyFill="1" applyBorder="1" applyAlignment="1">
      <alignment horizontal="center" vertical="center"/>
    </xf>
    <xf numFmtId="0" fontId="22" fillId="0" borderId="0" xfId="0" applyFont="1" applyBorder="1" applyAlignment="1">
      <alignment horizontal="center" vertical="center"/>
    </xf>
    <xf numFmtId="9" fontId="32" fillId="2" borderId="22" xfId="0" applyNumberFormat="1" applyFont="1" applyFill="1" applyBorder="1" applyAlignment="1" applyProtection="1">
      <alignment horizontal="center" vertical="center"/>
    </xf>
    <xf numFmtId="9" fontId="32" fillId="2" borderId="23" xfId="0" applyNumberFormat="1" applyFont="1" applyFill="1" applyBorder="1" applyAlignment="1">
      <alignment horizontal="center" vertical="center"/>
    </xf>
    <xf numFmtId="0" fontId="18" fillId="0" borderId="0" xfId="0" applyFont="1" applyFill="1" applyBorder="1" applyAlignment="1">
      <alignment horizontal="left" vertical="center"/>
    </xf>
    <xf numFmtId="0" fontId="5" fillId="0" borderId="0" xfId="0" applyFont="1" applyFill="1" applyBorder="1" applyAlignment="1" applyProtection="1">
      <alignment horizontal="center"/>
      <protection locked="0"/>
    </xf>
    <xf numFmtId="0" fontId="5" fillId="0" borderId="0" xfId="0" applyFont="1" applyFill="1" applyBorder="1" applyAlignment="1" applyProtection="1">
      <alignment horizontal="center"/>
      <protection locked="0"/>
    </xf>
    <xf numFmtId="0" fontId="10" fillId="0" borderId="0" xfId="0" applyFont="1" applyFill="1" applyBorder="1" applyAlignment="1" applyProtection="1">
      <alignment horizontal="left"/>
      <protection locked="0"/>
    </xf>
    <xf numFmtId="166" fontId="5" fillId="0" borderId="0" xfId="0" applyNumberFormat="1" applyFont="1" applyFill="1" applyBorder="1" applyAlignment="1" applyProtection="1">
      <alignment horizontal="center"/>
    </xf>
    <xf numFmtId="0" fontId="10" fillId="0" borderId="0" xfId="0" applyFont="1" applyFill="1" applyBorder="1" applyAlignment="1" applyProtection="1">
      <alignment vertical="center"/>
      <protection locked="0"/>
    </xf>
    <xf numFmtId="0" fontId="10" fillId="0" borderId="0" xfId="0" applyFont="1" applyFill="1" applyBorder="1" applyAlignment="1" applyProtection="1">
      <alignment horizontal="center"/>
      <protection locked="0"/>
    </xf>
    <xf numFmtId="0" fontId="10" fillId="0" borderId="0" xfId="0" applyFont="1" applyFill="1" applyBorder="1" applyAlignment="1" applyProtection="1">
      <alignment horizontal="right"/>
      <protection locked="0"/>
    </xf>
    <xf numFmtId="0" fontId="5" fillId="0" borderId="0" xfId="0" applyFont="1" applyFill="1" applyBorder="1" applyAlignment="1" applyProtection="1">
      <protection locked="0"/>
    </xf>
    <xf numFmtId="0" fontId="5" fillId="0" borderId="0" xfId="0" applyFont="1" applyFill="1" applyBorder="1" applyAlignment="1" applyProtection="1">
      <alignment horizontal="right" vertical="center"/>
      <protection locked="0"/>
    </xf>
    <xf numFmtId="0" fontId="5" fillId="0" borderId="0" xfId="0" applyFont="1" applyFill="1" applyBorder="1" applyAlignment="1" applyProtection="1">
      <alignment horizontal="left" vertical="center"/>
      <protection locked="0"/>
    </xf>
    <xf numFmtId="0" fontId="5" fillId="0" borderId="0" xfId="0" applyFont="1" applyFill="1" applyBorder="1" applyAlignment="1"/>
    <xf numFmtId="0" fontId="5" fillId="0" borderId="0" xfId="1" applyFont="1" applyFill="1" applyBorder="1" applyAlignment="1">
      <alignment horizontal="left" vertical="center"/>
    </xf>
    <xf numFmtId="0" fontId="5" fillId="0" borderId="0" xfId="0" applyFont="1" applyFill="1" applyBorder="1" applyAlignment="1">
      <alignment horizontal="right" vertical="center"/>
    </xf>
    <xf numFmtId="40" fontId="5" fillId="0" borderId="0" xfId="0" applyNumberFormat="1" applyFont="1" applyFill="1" applyBorder="1" applyAlignment="1" applyProtection="1">
      <alignment horizontal="center" vertical="center"/>
      <protection locked="0"/>
    </xf>
    <xf numFmtId="165" fontId="5" fillId="0" borderId="0" xfId="0" applyNumberFormat="1" applyFont="1" applyFill="1" applyBorder="1" applyAlignment="1" applyProtection="1">
      <alignment horizontal="left" vertical="center"/>
      <protection locked="0"/>
    </xf>
    <xf numFmtId="0" fontId="5" fillId="0" borderId="0" xfId="0" applyFont="1" applyFill="1" applyBorder="1" applyAlignment="1">
      <alignment horizontal="left" vertical="center"/>
    </xf>
    <xf numFmtId="166" fontId="11" fillId="0" borderId="0" xfId="0" applyNumberFormat="1" applyFont="1" applyFill="1" applyBorder="1" applyAlignment="1" applyProtection="1">
      <alignment horizontal="center" vertical="center"/>
      <protection locked="0"/>
    </xf>
    <xf numFmtId="0" fontId="5" fillId="0" borderId="0" xfId="0" applyFont="1" applyFill="1" applyBorder="1" applyAlignment="1">
      <alignment vertical="center"/>
    </xf>
    <xf numFmtId="0" fontId="5" fillId="0" borderId="0" xfId="0" applyFont="1" applyFill="1" applyBorder="1" applyAlignment="1" applyProtection="1">
      <alignment horizontal="right"/>
      <protection locked="0"/>
    </xf>
    <xf numFmtId="0" fontId="5" fillId="0" borderId="0" xfId="0" applyFont="1" applyFill="1" applyBorder="1" applyAlignment="1" applyProtection="1">
      <alignment horizontal="left"/>
      <protection locked="0"/>
    </xf>
    <xf numFmtId="4" fontId="5" fillId="0" borderId="0" xfId="0" applyNumberFormat="1" applyFont="1" applyFill="1" applyBorder="1" applyAlignment="1" applyProtection="1">
      <alignment horizontal="center"/>
      <protection locked="0"/>
    </xf>
    <xf numFmtId="166" fontId="5" fillId="0" borderId="0" xfId="0" applyNumberFormat="1" applyFont="1" applyFill="1" applyBorder="1" applyAlignment="1" applyProtection="1">
      <alignment horizontal="center"/>
      <protection locked="0"/>
    </xf>
    <xf numFmtId="0" fontId="10" fillId="0" borderId="0" xfId="0" applyFont="1" applyFill="1" applyBorder="1" applyAlignment="1">
      <alignment horizontal="left"/>
    </xf>
    <xf numFmtId="0" fontId="12" fillId="0" borderId="0" xfId="0" applyFont="1" applyFill="1" applyBorder="1" applyAlignment="1" applyProtection="1">
      <alignment horizontal="left"/>
      <protection locked="0"/>
    </xf>
    <xf numFmtId="0" fontId="5" fillId="0" borderId="0" xfId="0" applyFont="1" applyFill="1" applyBorder="1" applyAlignment="1" applyProtection="1">
      <alignment vertical="center" wrapText="1"/>
      <protection locked="0"/>
    </xf>
    <xf numFmtId="3" fontId="5" fillId="0" borderId="0" xfId="0" applyNumberFormat="1" applyFont="1" applyFill="1" applyBorder="1" applyAlignment="1" applyProtection="1">
      <alignment horizontal="center" vertical="center"/>
    </xf>
    <xf numFmtId="165" fontId="5" fillId="0" borderId="0" xfId="0" applyNumberFormat="1" applyFont="1" applyFill="1" applyBorder="1" applyAlignment="1" applyProtection="1">
      <alignment horizontal="center" vertical="center"/>
      <protection locked="0"/>
    </xf>
    <xf numFmtId="166" fontId="5" fillId="0" borderId="0" xfId="0" applyNumberFormat="1" applyFont="1" applyFill="1" applyBorder="1" applyAlignment="1">
      <alignment horizontal="right" vertical="center"/>
    </xf>
    <xf numFmtId="0" fontId="11" fillId="0" borderId="0" xfId="0" applyFont="1" applyFill="1" applyBorder="1" applyAlignment="1">
      <alignment horizontal="right" vertical="center"/>
    </xf>
    <xf numFmtId="0" fontId="10" fillId="0" borderId="0" xfId="0" applyFont="1" applyFill="1" applyBorder="1" applyAlignment="1" applyProtection="1">
      <alignment horizontal="right" vertical="center"/>
      <protection locked="0"/>
    </xf>
    <xf numFmtId="0" fontId="12" fillId="0" borderId="0" xfId="0" applyFont="1" applyFill="1" applyBorder="1" applyAlignment="1" applyProtection="1">
      <alignment horizontal="left" vertical="center"/>
      <protection locked="0"/>
    </xf>
    <xf numFmtId="164" fontId="5" fillId="0" borderId="0" xfId="0" applyNumberFormat="1" applyFont="1" applyFill="1" applyBorder="1" applyAlignment="1">
      <alignment horizontal="center"/>
    </xf>
    <xf numFmtId="166" fontId="12" fillId="0" borderId="0" xfId="0" applyNumberFormat="1" applyFont="1" applyFill="1" applyBorder="1" applyAlignment="1" applyProtection="1">
      <alignment horizontal="center" vertical="center"/>
      <protection locked="0"/>
    </xf>
    <xf numFmtId="0" fontId="10" fillId="0" borderId="0" xfId="0" applyFont="1" applyFill="1" applyBorder="1" applyAlignment="1" applyProtection="1">
      <alignment horizontal="left" vertical="center"/>
      <protection locked="0"/>
    </xf>
    <xf numFmtId="0" fontId="12" fillId="0" borderId="0" xfId="0" applyFont="1" applyFill="1" applyBorder="1" applyAlignment="1">
      <alignment vertical="center"/>
    </xf>
    <xf numFmtId="0" fontId="10" fillId="0" borderId="0" xfId="0" applyFont="1" applyFill="1" applyBorder="1" applyAlignment="1">
      <alignment horizontal="center" vertical="center"/>
    </xf>
    <xf numFmtId="166" fontId="5" fillId="0" borderId="0" xfId="0" applyNumberFormat="1" applyFont="1" applyFill="1" applyBorder="1" applyAlignment="1">
      <alignment horizontal="left" vertical="center"/>
    </xf>
    <xf numFmtId="166" fontId="5" fillId="0" borderId="0" xfId="0" applyNumberFormat="1" applyFont="1" applyFill="1" applyBorder="1" applyAlignment="1" applyProtection="1">
      <alignment horizontal="left" vertical="center"/>
      <protection locked="0"/>
    </xf>
    <xf numFmtId="4" fontId="5" fillId="0" borderId="0" xfId="0" applyNumberFormat="1" applyFont="1" applyFill="1" applyBorder="1" applyAlignment="1" applyProtection="1">
      <alignment horizontal="center" vertical="center"/>
      <protection locked="0"/>
    </xf>
    <xf numFmtId="166" fontId="11" fillId="0" borderId="0" xfId="0" applyNumberFormat="1" applyFont="1" applyFill="1" applyBorder="1" applyAlignment="1" applyProtection="1">
      <alignment horizontal="center" vertical="center"/>
    </xf>
    <xf numFmtId="164" fontId="5" fillId="0" borderId="0" xfId="0" applyNumberFormat="1" applyFont="1" applyFill="1" applyBorder="1" applyAlignment="1" applyProtection="1">
      <alignment horizontal="right" vertical="center"/>
      <protection locked="0"/>
    </xf>
    <xf numFmtId="10" fontId="5" fillId="0" borderId="0" xfId="0" applyNumberFormat="1" applyFont="1" applyFill="1" applyBorder="1" applyAlignment="1" applyProtection="1">
      <alignment vertical="center"/>
    </xf>
    <xf numFmtId="10" fontId="5" fillId="0" borderId="0" xfId="0" applyNumberFormat="1" applyFont="1" applyFill="1" applyBorder="1" applyAlignment="1" applyProtection="1">
      <alignment horizontal="right" vertical="center"/>
    </xf>
    <xf numFmtId="10" fontId="5" fillId="0" borderId="0" xfId="0" applyNumberFormat="1" applyFont="1" applyFill="1" applyBorder="1" applyAlignment="1" applyProtection="1">
      <alignment horizontal="left" vertical="center"/>
    </xf>
    <xf numFmtId="0" fontId="24" fillId="0" borderId="0" xfId="0" applyFont="1" applyFill="1" applyBorder="1" applyAlignment="1" applyProtection="1">
      <alignment vertical="center"/>
      <protection locked="0"/>
    </xf>
    <xf numFmtId="10" fontId="24" fillId="0" borderId="0" xfId="0" applyNumberFormat="1" applyFont="1" applyFill="1" applyBorder="1" applyAlignment="1" applyProtection="1">
      <alignment horizontal="center" vertical="center"/>
    </xf>
    <xf numFmtId="0" fontId="24" fillId="0" borderId="0" xfId="0" applyFont="1" applyFill="1" applyBorder="1" applyAlignment="1" applyProtection="1">
      <alignment horizontal="left" vertical="center"/>
      <protection locked="0"/>
    </xf>
    <xf numFmtId="10" fontId="5" fillId="0" borderId="0" xfId="0" applyNumberFormat="1" applyFont="1" applyFill="1" applyBorder="1" applyAlignment="1">
      <alignment horizontal="center" vertical="center"/>
    </xf>
    <xf numFmtId="3" fontId="5" fillId="0" borderId="0" xfId="0" applyNumberFormat="1" applyFont="1" applyFill="1" applyBorder="1" applyAlignment="1">
      <alignment horizontal="center" vertical="center"/>
    </xf>
    <xf numFmtId="169" fontId="5" fillId="0" borderId="0" xfId="0" applyNumberFormat="1" applyFont="1" applyFill="1" applyBorder="1" applyAlignment="1">
      <alignment horizontal="center" vertical="center"/>
    </xf>
    <xf numFmtId="0" fontId="26" fillId="0" borderId="0" xfId="0" applyFont="1" applyFill="1" applyBorder="1" applyAlignment="1">
      <alignment horizontal="left" vertical="center"/>
    </xf>
    <xf numFmtId="0" fontId="5" fillId="0" borderId="0" xfId="0" applyFont="1" applyFill="1" applyBorder="1"/>
    <xf numFmtId="3" fontId="26" fillId="0" borderId="0" xfId="0" applyNumberFormat="1" applyFont="1" applyFill="1" applyBorder="1" applyAlignment="1">
      <alignment horizontal="left" vertical="center"/>
    </xf>
    <xf numFmtId="4" fontId="11" fillId="0" borderId="0" xfId="0" applyNumberFormat="1" applyFont="1" applyFill="1" applyBorder="1" applyAlignment="1" applyProtection="1">
      <alignment horizontal="center" vertical="center"/>
      <protection locked="0"/>
    </xf>
    <xf numFmtId="166" fontId="36" fillId="12" borderId="1" xfId="0" applyNumberFormat="1" applyFont="1" applyFill="1" applyBorder="1" applyAlignment="1" applyProtection="1">
      <alignment horizontal="center" vertical="center"/>
      <protection locked="0"/>
    </xf>
    <xf numFmtId="0" fontId="37" fillId="10" borderId="0" xfId="0" applyFont="1" applyFill="1" applyBorder="1" applyAlignment="1" applyProtection="1">
      <alignment vertical="center"/>
      <protection locked="0"/>
    </xf>
    <xf numFmtId="0" fontId="36" fillId="12" borderId="1" xfId="0" applyFont="1" applyFill="1" applyBorder="1" applyAlignment="1" applyProtection="1">
      <alignment horizontal="center" vertical="center"/>
      <protection locked="0"/>
    </xf>
    <xf numFmtId="0" fontId="38" fillId="17" borderId="1" xfId="0" applyFont="1" applyFill="1" applyBorder="1" applyAlignment="1" applyProtection="1">
      <alignment horizontal="center" vertical="center"/>
      <protection locked="0"/>
    </xf>
    <xf numFmtId="0" fontId="39" fillId="10" borderId="0" xfId="0" applyFont="1" applyFill="1" applyBorder="1" applyAlignment="1" applyProtection="1">
      <alignment vertical="center"/>
      <protection locked="0"/>
    </xf>
    <xf numFmtId="166" fontId="38" fillId="17" borderId="1" xfId="0" applyNumberFormat="1" applyFont="1" applyFill="1" applyBorder="1" applyAlignment="1" applyProtection="1">
      <alignment horizontal="center" vertical="center"/>
      <protection locked="0"/>
    </xf>
    <xf numFmtId="166" fontId="40" fillId="19" borderId="1" xfId="0" applyNumberFormat="1" applyFont="1" applyFill="1" applyBorder="1" applyAlignment="1" applyProtection="1">
      <alignment horizontal="center" vertical="center"/>
      <protection locked="0"/>
    </xf>
    <xf numFmtId="169" fontId="41" fillId="10" borderId="0" xfId="0" applyNumberFormat="1" applyFont="1" applyFill="1" applyBorder="1" applyAlignment="1" applyProtection="1">
      <alignment horizontal="center" vertical="center"/>
      <protection locked="0"/>
    </xf>
    <xf numFmtId="166" fontId="42" fillId="16" borderId="1" xfId="0" applyNumberFormat="1" applyFont="1" applyFill="1" applyBorder="1" applyAlignment="1" applyProtection="1">
      <alignment horizontal="center" vertical="center"/>
      <protection locked="0"/>
    </xf>
    <xf numFmtId="166" fontId="43" fillId="10" borderId="0" xfId="0" applyNumberFormat="1" applyFont="1" applyFill="1" applyBorder="1" applyAlignment="1" applyProtection="1">
      <alignment horizontal="center" vertical="center"/>
      <protection locked="0"/>
    </xf>
    <xf numFmtId="0" fontId="3" fillId="10" borderId="0" xfId="0" applyFont="1" applyFill="1" applyAlignment="1" applyProtection="1">
      <alignment vertical="center"/>
      <protection locked="0"/>
    </xf>
    <xf numFmtId="166" fontId="21" fillId="11" borderId="16" xfId="0" applyNumberFormat="1" applyFont="1" applyFill="1" applyBorder="1" applyAlignment="1" applyProtection="1">
      <alignment vertical="center"/>
      <protection locked="0"/>
    </xf>
    <xf numFmtId="0" fontId="13" fillId="11" borderId="17" xfId="0" applyFont="1" applyFill="1" applyBorder="1" applyAlignment="1">
      <alignment vertical="center"/>
    </xf>
    <xf numFmtId="0" fontId="13" fillId="11" borderId="18" xfId="0" applyFont="1" applyFill="1" applyBorder="1" applyAlignment="1">
      <alignment vertical="center"/>
    </xf>
    <xf numFmtId="0" fontId="13" fillId="11" borderId="19" xfId="0" applyFont="1" applyFill="1" applyBorder="1" applyAlignment="1">
      <alignment vertical="center"/>
    </xf>
    <xf numFmtId="0" fontId="13" fillId="11" borderId="20" xfId="0" applyFont="1" applyFill="1" applyBorder="1" applyAlignment="1">
      <alignment vertical="center"/>
    </xf>
    <xf numFmtId="0" fontId="13" fillId="11" borderId="21" xfId="0" applyFont="1" applyFill="1" applyBorder="1" applyAlignment="1">
      <alignment vertical="center"/>
    </xf>
    <xf numFmtId="0" fontId="5" fillId="10" borderId="0" xfId="0" applyFont="1" applyFill="1" applyBorder="1" applyAlignment="1" applyProtection="1">
      <alignment vertical="center"/>
      <protection locked="0"/>
    </xf>
    <xf numFmtId="0" fontId="5" fillId="10" borderId="0" xfId="0" applyFont="1" applyFill="1" applyBorder="1" applyAlignment="1">
      <alignment vertical="center"/>
    </xf>
    <xf numFmtId="0" fontId="13" fillId="10" borderId="0" xfId="0" applyFont="1" applyFill="1" applyBorder="1" applyAlignment="1" applyProtection="1">
      <alignment horizontal="left" vertical="center"/>
      <protection locked="0"/>
    </xf>
    <xf numFmtId="0" fontId="13" fillId="10" borderId="0" xfId="0" applyFont="1" applyFill="1" applyBorder="1" applyAlignment="1" applyProtection="1">
      <alignment vertical="center"/>
      <protection locked="0"/>
    </xf>
    <xf numFmtId="166" fontId="4" fillId="10" borderId="0" xfId="0" applyNumberFormat="1" applyFont="1" applyFill="1" applyBorder="1" applyAlignment="1" applyProtection="1">
      <alignment horizontal="left" vertical="center"/>
      <protection locked="0"/>
    </xf>
    <xf numFmtId="10" fontId="4" fillId="10" borderId="0" xfId="0" applyNumberFormat="1" applyFont="1" applyFill="1" applyBorder="1" applyAlignment="1" applyProtection="1">
      <alignment horizontal="center" vertical="center"/>
    </xf>
    <xf numFmtId="0" fontId="4" fillId="10" borderId="0" xfId="0" applyFont="1" applyFill="1" applyBorder="1" applyAlignment="1" applyProtection="1">
      <alignment horizontal="left" vertical="center"/>
      <protection locked="0"/>
    </xf>
    <xf numFmtId="0" fontId="4" fillId="10" borderId="0" xfId="0" applyFont="1" applyFill="1" applyBorder="1" applyAlignment="1" applyProtection="1">
      <alignment vertical="center"/>
      <protection locked="0"/>
    </xf>
    <xf numFmtId="164" fontId="4" fillId="10" borderId="0" xfId="0" applyNumberFormat="1" applyFont="1" applyFill="1" applyBorder="1" applyAlignment="1" applyProtection="1">
      <alignment horizontal="left" vertical="center"/>
      <protection locked="0"/>
    </xf>
    <xf numFmtId="166" fontId="4" fillId="10" borderId="0" xfId="0" applyNumberFormat="1" applyFont="1" applyFill="1" applyBorder="1" applyAlignment="1">
      <alignment horizontal="left" vertical="center"/>
    </xf>
    <xf numFmtId="166" fontId="4" fillId="10" borderId="0" xfId="0" applyNumberFormat="1" applyFont="1" applyFill="1" applyBorder="1" applyAlignment="1" applyProtection="1">
      <alignment vertical="center"/>
      <protection locked="0"/>
    </xf>
    <xf numFmtId="166" fontId="4" fillId="10" borderId="0" xfId="0" applyNumberFormat="1" applyFont="1" applyFill="1" applyBorder="1" applyAlignment="1">
      <alignment horizontal="center" vertical="center"/>
    </xf>
    <xf numFmtId="0" fontId="4" fillId="10" borderId="0" xfId="0" applyFont="1" applyFill="1" applyBorder="1" applyAlignment="1" applyProtection="1">
      <alignment horizontal="left" vertical="center"/>
      <protection locked="0"/>
    </xf>
    <xf numFmtId="166" fontId="9" fillId="2" borderId="0" xfId="0" applyNumberFormat="1" applyFont="1" applyFill="1" applyBorder="1" applyAlignment="1" applyProtection="1">
      <alignment horizontal="center" vertical="center"/>
      <protection locked="0"/>
    </xf>
    <xf numFmtId="0" fontId="9" fillId="2" borderId="0" xfId="0" applyFont="1" applyFill="1" applyBorder="1" applyAlignment="1" applyProtection="1">
      <alignment vertical="center"/>
      <protection locked="0"/>
    </xf>
    <xf numFmtId="0" fontId="4" fillId="2" borderId="0" xfId="0" applyFont="1" applyFill="1" applyBorder="1" applyAlignment="1" applyProtection="1">
      <alignment vertical="center"/>
      <protection locked="0"/>
    </xf>
    <xf numFmtId="0" fontId="33" fillId="2" borderId="0" xfId="0" applyFont="1" applyFill="1" applyBorder="1" applyAlignment="1" applyProtection="1">
      <alignment horizontal="center" vertical="center"/>
      <protection locked="0"/>
    </xf>
    <xf numFmtId="0" fontId="33" fillId="2" borderId="0" xfId="0" applyFont="1" applyFill="1" applyBorder="1" applyAlignment="1">
      <alignment horizontal="center" vertical="center"/>
    </xf>
    <xf numFmtId="166" fontId="3" fillId="2" borderId="0" xfId="0" applyNumberFormat="1" applyFont="1" applyFill="1" applyBorder="1" applyAlignment="1" applyProtection="1">
      <alignment horizontal="center" vertical="center"/>
      <protection locked="0"/>
    </xf>
    <xf numFmtId="166" fontId="9" fillId="2" borderId="0" xfId="0" applyNumberFormat="1" applyFont="1" applyFill="1" applyBorder="1" applyAlignment="1">
      <alignment horizontal="center" vertical="center"/>
    </xf>
    <xf numFmtId="10" fontId="5" fillId="2" borderId="0" xfId="0" applyNumberFormat="1" applyFont="1" applyFill="1" applyBorder="1" applyAlignment="1" applyProtection="1">
      <alignment horizontal="center" vertical="center"/>
    </xf>
    <xf numFmtId="9" fontId="11" fillId="2" borderId="0" xfId="0" applyNumberFormat="1" applyFont="1" applyFill="1" applyBorder="1" applyAlignment="1" applyProtection="1">
      <alignment horizontal="center" vertical="center"/>
      <protection locked="0"/>
    </xf>
    <xf numFmtId="0" fontId="11" fillId="2" borderId="0" xfId="0" applyFont="1" applyFill="1" applyBorder="1" applyAlignment="1">
      <alignment horizontal="center" vertical="center"/>
    </xf>
    <xf numFmtId="0" fontId="11" fillId="2" borderId="0" xfId="0" applyFont="1" applyFill="1" applyBorder="1" applyAlignment="1" applyProtection="1">
      <alignment horizontal="center" vertical="center"/>
      <protection locked="0"/>
    </xf>
    <xf numFmtId="0" fontId="5" fillId="2" borderId="0" xfId="0" applyFont="1" applyFill="1" applyBorder="1" applyAlignment="1">
      <alignment vertical="center"/>
    </xf>
    <xf numFmtId="166" fontId="11" fillId="2" borderId="0" xfId="0" applyNumberFormat="1" applyFont="1" applyFill="1" applyBorder="1" applyAlignment="1" applyProtection="1">
      <alignment horizontal="center" vertical="center"/>
    </xf>
    <xf numFmtId="166" fontId="5" fillId="2" borderId="0" xfId="0" applyNumberFormat="1" applyFont="1" applyFill="1" applyBorder="1" applyAlignment="1" applyProtection="1">
      <alignment horizontal="center" vertical="center"/>
    </xf>
    <xf numFmtId="166" fontId="5" fillId="2" borderId="0" xfId="0" applyNumberFormat="1" applyFont="1" applyFill="1" applyBorder="1" applyAlignment="1" applyProtection="1">
      <alignment horizontal="center" vertical="center"/>
      <protection locked="0"/>
    </xf>
    <xf numFmtId="164" fontId="3" fillId="2" borderId="0" xfId="0" applyNumberFormat="1" applyFont="1" applyFill="1" applyBorder="1" applyAlignment="1" applyProtection="1">
      <alignment horizontal="right" vertical="center"/>
      <protection locked="0"/>
    </xf>
    <xf numFmtId="0" fontId="3" fillId="2" borderId="0" xfId="0" applyFont="1" applyFill="1" applyBorder="1" applyAlignment="1" applyProtection="1">
      <alignment horizontal="right" vertical="top"/>
      <protection locked="0"/>
    </xf>
    <xf numFmtId="0" fontId="3" fillId="2" borderId="0" xfId="0" applyFont="1" applyFill="1" applyBorder="1" applyAlignment="1">
      <alignment horizontal="right" vertical="center"/>
    </xf>
    <xf numFmtId="0" fontId="0" fillId="10" borderId="0" xfId="0" applyFill="1" applyBorder="1" applyAlignment="1"/>
    <xf numFmtId="0" fontId="19" fillId="10" borderId="0" xfId="0" applyFont="1" applyFill="1" applyBorder="1" applyAlignment="1">
      <alignment horizontal="center" vertical="center"/>
    </xf>
    <xf numFmtId="0" fontId="10" fillId="2" borderId="0" xfId="0" applyFont="1" applyFill="1" applyBorder="1" applyAlignment="1" applyProtection="1">
      <alignment horizontal="right" vertical="center"/>
      <protection locked="0"/>
    </xf>
    <xf numFmtId="0" fontId="29" fillId="2" borderId="0" xfId="0" applyFont="1" applyFill="1" applyBorder="1" applyAlignment="1">
      <alignment horizontal="right" vertical="center"/>
    </xf>
    <xf numFmtId="0" fontId="4" fillId="2" borderId="0" xfId="0" applyFont="1" applyFill="1" applyBorder="1" applyAlignment="1" applyProtection="1">
      <alignment horizontal="right" vertical="center"/>
      <protection locked="0"/>
    </xf>
    <xf numFmtId="0" fontId="3" fillId="2" borderId="0" xfId="10" applyFont="1" applyFill="1" applyBorder="1" applyAlignment="1" applyProtection="1">
      <alignment horizontal="right" vertical="center"/>
    </xf>
    <xf numFmtId="0" fontId="7" fillId="2" borderId="0" xfId="10" applyFont="1" applyFill="1" applyBorder="1" applyAlignment="1">
      <alignment horizontal="right" vertical="center"/>
    </xf>
    <xf numFmtId="0" fontId="3" fillId="2" borderId="0" xfId="10" applyFont="1" applyFill="1" applyBorder="1" applyAlignment="1">
      <alignment horizontal="right" vertical="center"/>
    </xf>
    <xf numFmtId="0" fontId="3" fillId="2" borderId="0" xfId="0" applyFont="1" applyFill="1" applyBorder="1" applyAlignment="1" applyProtection="1">
      <alignment horizontal="right" vertical="center"/>
      <protection locked="0"/>
    </xf>
    <xf numFmtId="0" fontId="3" fillId="2" borderId="0" xfId="9" applyFont="1" applyFill="1" applyBorder="1" applyAlignment="1">
      <alignment horizontal="right" vertical="center"/>
    </xf>
    <xf numFmtId="0" fontId="3" fillId="2" borderId="0" xfId="0" applyFont="1" applyFill="1" applyBorder="1" applyAlignment="1">
      <alignment horizontal="right" vertical="top"/>
    </xf>
    <xf numFmtId="0" fontId="3" fillId="2" borderId="0" xfId="0" applyFont="1" applyFill="1" applyBorder="1" applyAlignment="1" applyProtection="1">
      <alignment horizontal="left" vertical="center"/>
      <protection locked="0"/>
    </xf>
    <xf numFmtId="0" fontId="29" fillId="2" borderId="0" xfId="0" applyFont="1" applyFill="1" applyBorder="1" applyAlignment="1" applyProtection="1">
      <alignment horizontal="right" vertical="center"/>
      <protection locked="0"/>
    </xf>
    <xf numFmtId="164" fontId="31" fillId="2" borderId="0" xfId="0" applyNumberFormat="1" applyFont="1" applyFill="1" applyBorder="1" applyAlignment="1" applyProtection="1">
      <alignment horizontal="center" vertical="center"/>
      <protection locked="0"/>
    </xf>
    <xf numFmtId="0" fontId="23" fillId="2" borderId="0" xfId="0" applyFont="1" applyFill="1" applyBorder="1" applyAlignment="1">
      <alignment horizontal="center" vertical="center"/>
    </xf>
    <xf numFmtId="0" fontId="35" fillId="2" borderId="0" xfId="0" applyFont="1" applyFill="1" applyBorder="1" applyAlignment="1" applyProtection="1">
      <alignment horizontal="left" vertical="center"/>
      <protection locked="0"/>
    </xf>
    <xf numFmtId="0" fontId="18" fillId="2" borderId="0" xfId="0" applyFont="1" applyFill="1" applyBorder="1" applyAlignment="1" applyProtection="1">
      <alignment horizontal="left" vertical="center"/>
      <protection locked="0"/>
    </xf>
    <xf numFmtId="0" fontId="11" fillId="2" borderId="0" xfId="0" applyFont="1" applyFill="1" applyBorder="1" applyAlignment="1">
      <alignment horizontal="center" vertical="center"/>
    </xf>
    <xf numFmtId="0" fontId="5" fillId="2" borderId="0" xfId="0" applyFont="1" applyFill="1" applyBorder="1" applyAlignment="1">
      <alignment horizontal="center" vertical="center"/>
    </xf>
    <xf numFmtId="166" fontId="34" fillId="10" borderId="0" xfId="0" applyNumberFormat="1" applyFont="1" applyFill="1" applyBorder="1" applyAlignment="1" applyProtection="1">
      <alignment horizontal="center" vertical="center"/>
    </xf>
    <xf numFmtId="166" fontId="34" fillId="10" borderId="0" xfId="0" applyNumberFormat="1" applyFont="1" applyFill="1" applyBorder="1" applyAlignment="1" applyProtection="1">
      <alignment horizontal="center" vertical="center"/>
      <protection locked="0"/>
    </xf>
    <xf numFmtId="10" fontId="34" fillId="10" borderId="0" xfId="0" applyNumberFormat="1" applyFont="1" applyFill="1" applyBorder="1" applyAlignment="1" applyProtection="1">
      <alignment horizontal="center" vertical="center"/>
    </xf>
    <xf numFmtId="166" fontId="0" fillId="14" borderId="8" xfId="0" applyNumberFormat="1" applyFont="1" applyFill="1" applyBorder="1" applyAlignment="1" applyProtection="1">
      <alignment horizontal="center" vertical="center"/>
    </xf>
    <xf numFmtId="166" fontId="0" fillId="10" borderId="8" xfId="0" applyNumberFormat="1" applyFont="1" applyFill="1" applyBorder="1" applyAlignment="1" applyProtection="1">
      <alignment horizontal="center" vertical="center"/>
    </xf>
  </cellXfs>
  <cellStyles count="12">
    <cellStyle name="20 % - Accent3 2" xfId="6"/>
    <cellStyle name="40 % - Accent1" xfId="10" builtinId="31"/>
    <cellStyle name="Accent1" xfId="9" builtinId="29"/>
    <cellStyle name="Calcul 2" xfId="8"/>
    <cellStyle name="Entrée 2" xfId="7"/>
    <cellStyle name="Lien hypertexte" xfId="2" builtinId="8"/>
    <cellStyle name="Monétaire 2" xfId="5"/>
    <cellStyle name="Normal" xfId="0" builtinId="0"/>
    <cellStyle name="Normal 2" xfId="1"/>
    <cellStyle name="Normal 3" xfId="3"/>
    <cellStyle name="Normal 4" xfId="4"/>
    <cellStyle name="Normal 5" xfId="11"/>
  </cellStyles>
  <dxfs count="351">
    <dxf>
      <font>
        <color theme="0"/>
      </font>
    </dxf>
    <dxf>
      <font>
        <color theme="7" tint="0.79998168889431442"/>
      </font>
    </dxf>
    <dxf>
      <font>
        <color theme="9" tint="0.59996337778862885"/>
      </font>
    </dxf>
    <dxf>
      <font>
        <color theme="4" tint="0.79998168889431442"/>
      </font>
    </dxf>
    <dxf>
      <font>
        <color theme="6" tint="0.39994506668294322"/>
      </font>
    </dxf>
    <dxf>
      <font>
        <color theme="7" tint="0.59996337778862885"/>
      </font>
    </dxf>
    <dxf>
      <font>
        <color theme="9" tint="0.79998168889431442"/>
      </font>
    </dxf>
    <dxf>
      <font>
        <color theme="3" tint="0.79998168889431442"/>
      </font>
    </dxf>
    <dxf>
      <font>
        <color theme="3" tint="0.79998168889431442"/>
      </font>
    </dxf>
    <dxf>
      <font>
        <color rgb="FF00B050"/>
      </font>
    </dxf>
    <dxf>
      <font>
        <color rgb="FF00B050"/>
      </font>
    </dxf>
    <dxf>
      <numFmt numFmtId="170" formatCode=";;;"/>
    </dxf>
    <dxf>
      <font>
        <color rgb="FF00CC00"/>
      </font>
    </dxf>
    <dxf>
      <font>
        <color rgb="FF00CC00"/>
      </font>
    </dxf>
    <dxf>
      <font>
        <color auto="1"/>
      </font>
      <fill>
        <patternFill>
          <bgColor theme="0"/>
        </patternFill>
      </fill>
    </dxf>
    <dxf>
      <font>
        <color theme="0"/>
      </font>
    </dxf>
    <dxf>
      <font>
        <color theme="0"/>
      </font>
    </dxf>
    <dxf>
      <font>
        <color theme="1"/>
      </font>
    </dxf>
    <dxf>
      <font>
        <color theme="6" tint="0.39994506668294322"/>
      </font>
    </dxf>
    <dxf>
      <font>
        <color theme="0"/>
      </font>
    </dxf>
    <dxf>
      <font>
        <color theme="0"/>
      </font>
    </dxf>
    <dxf>
      <font>
        <color theme="0"/>
      </font>
    </dxf>
    <dxf>
      <font>
        <color rgb="FF00B050"/>
      </font>
    </dxf>
    <dxf>
      <font>
        <color rgb="FF00B050"/>
      </font>
    </dxf>
    <dxf>
      <font>
        <color rgb="FF00CC00"/>
      </font>
    </dxf>
    <dxf>
      <font>
        <color rgb="FF00CC00"/>
      </font>
    </dxf>
    <dxf>
      <font>
        <color theme="0"/>
      </font>
    </dxf>
    <dxf>
      <font>
        <color theme="0"/>
      </font>
    </dxf>
    <dxf>
      <font>
        <color theme="0"/>
      </font>
    </dxf>
    <dxf>
      <font>
        <color theme="0"/>
      </font>
    </dxf>
    <dxf>
      <font>
        <color rgb="FF00B050"/>
      </font>
    </dxf>
    <dxf>
      <font>
        <color theme="6" tint="0.59996337778862885"/>
      </font>
    </dxf>
    <dxf>
      <font>
        <color theme="0"/>
      </font>
    </dxf>
    <dxf>
      <font>
        <color theme="6" tint="0.59996337778862885"/>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rgb="FFFFFF99"/>
      </font>
    </dxf>
    <dxf>
      <font>
        <color theme="0"/>
      </font>
    </dxf>
    <dxf>
      <font>
        <color theme="0"/>
      </font>
    </dxf>
    <dxf>
      <font>
        <color theme="0"/>
      </font>
    </dxf>
    <dxf>
      <font>
        <color theme="0"/>
      </font>
    </dxf>
    <dxf>
      <font>
        <color theme="0"/>
      </font>
    </dxf>
    <dxf>
      <font>
        <color theme="0"/>
      </font>
    </dxf>
    <dxf>
      <font>
        <color theme="0"/>
      </font>
    </dxf>
    <dxf>
      <font>
        <color theme="0"/>
      </font>
    </dxf>
    <dxf>
      <font>
        <color rgb="FF00CC00"/>
      </font>
    </dxf>
    <dxf>
      <font>
        <color theme="0"/>
      </font>
    </dxf>
    <dxf>
      <font>
        <color theme="0"/>
      </font>
    </dxf>
    <dxf>
      <font>
        <color theme="0"/>
      </font>
    </dxf>
    <dxf>
      <font>
        <color rgb="FF00B050"/>
      </font>
    </dxf>
    <dxf>
      <font>
        <color rgb="FF00CC00"/>
      </font>
    </dxf>
    <dxf>
      <font>
        <color theme="0"/>
      </font>
    </dxf>
    <dxf>
      <font>
        <color rgb="FF00CC00"/>
      </font>
    </dxf>
    <dxf>
      <font>
        <color rgb="FF00CC00"/>
      </font>
    </dxf>
    <dxf>
      <font>
        <color theme="0"/>
      </font>
    </dxf>
    <dxf>
      <font>
        <color rgb="FF00B05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7" tint="0.79998168889431442"/>
      </font>
    </dxf>
    <dxf>
      <font>
        <color theme="9" tint="0.59996337778862885"/>
      </font>
    </dxf>
    <dxf>
      <font>
        <color theme="4" tint="0.79998168889431442"/>
      </font>
    </dxf>
    <dxf>
      <font>
        <color theme="6" tint="0.39994506668294322"/>
      </font>
    </dxf>
    <dxf>
      <font>
        <color theme="7" tint="0.59996337778862885"/>
      </font>
    </dxf>
    <dxf>
      <font>
        <color theme="9" tint="0.79998168889431442"/>
      </font>
    </dxf>
    <dxf>
      <font>
        <color theme="3" tint="0.79998168889431442"/>
      </font>
    </dxf>
    <dxf>
      <font>
        <color theme="3" tint="0.79998168889431442"/>
      </font>
    </dxf>
    <dxf>
      <font>
        <color rgb="FF00B050"/>
      </font>
    </dxf>
    <dxf>
      <font>
        <color rgb="FF00B050"/>
      </font>
    </dxf>
    <dxf>
      <numFmt numFmtId="170" formatCode=";;;"/>
    </dxf>
    <dxf>
      <font>
        <color rgb="FF00CC00"/>
      </font>
    </dxf>
    <dxf>
      <font>
        <color rgb="FF00CC00"/>
      </font>
    </dxf>
    <dxf>
      <font>
        <color auto="1"/>
      </font>
      <fill>
        <patternFill>
          <bgColor theme="0"/>
        </patternFill>
      </fill>
    </dxf>
    <dxf>
      <font>
        <color theme="0"/>
      </font>
    </dxf>
    <dxf>
      <font>
        <color theme="0"/>
      </font>
    </dxf>
    <dxf>
      <font>
        <color theme="1"/>
      </font>
    </dxf>
    <dxf>
      <font>
        <color theme="6" tint="0.39994506668294322"/>
      </font>
    </dxf>
    <dxf>
      <font>
        <color theme="0"/>
      </font>
    </dxf>
    <dxf>
      <font>
        <color theme="0"/>
      </font>
    </dxf>
    <dxf>
      <font>
        <color theme="0"/>
      </font>
    </dxf>
    <dxf>
      <font>
        <color rgb="FF00B050"/>
      </font>
    </dxf>
    <dxf>
      <font>
        <color rgb="FF00B050"/>
      </font>
    </dxf>
    <dxf>
      <font>
        <color rgb="FF00CC00"/>
      </font>
    </dxf>
    <dxf>
      <font>
        <color rgb="FF00CC00"/>
      </font>
    </dxf>
    <dxf>
      <font>
        <color theme="0"/>
      </font>
    </dxf>
    <dxf>
      <font>
        <color theme="0"/>
      </font>
    </dxf>
    <dxf>
      <font>
        <color theme="0"/>
      </font>
    </dxf>
    <dxf>
      <font>
        <color theme="0"/>
      </font>
    </dxf>
    <dxf>
      <font>
        <color rgb="FF00B050"/>
      </font>
    </dxf>
    <dxf>
      <font>
        <color theme="6" tint="0.59996337778862885"/>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rgb="FFFFFF99"/>
      </font>
    </dxf>
    <dxf>
      <font>
        <color theme="0"/>
      </font>
    </dxf>
    <dxf>
      <font>
        <color theme="0"/>
      </font>
    </dxf>
    <dxf>
      <font>
        <color theme="0"/>
      </font>
    </dxf>
    <dxf>
      <font>
        <color theme="0"/>
      </font>
    </dxf>
    <dxf>
      <font>
        <color theme="0"/>
      </font>
    </dxf>
    <dxf>
      <font>
        <color theme="0"/>
      </font>
    </dxf>
    <dxf>
      <font>
        <color theme="0"/>
      </font>
    </dxf>
    <dxf>
      <font>
        <color rgb="FF00CC00"/>
      </font>
    </dxf>
    <dxf>
      <font>
        <color theme="0"/>
      </font>
    </dxf>
    <dxf>
      <font>
        <color theme="0"/>
      </font>
    </dxf>
    <dxf>
      <font>
        <color theme="0"/>
      </font>
    </dxf>
    <dxf>
      <font>
        <color rgb="FF00B050"/>
      </font>
    </dxf>
    <dxf>
      <font>
        <color rgb="FF00CC00"/>
      </font>
    </dxf>
    <dxf>
      <font>
        <color theme="0"/>
      </font>
    </dxf>
    <dxf>
      <font>
        <color rgb="FF00CC00"/>
      </font>
    </dxf>
    <dxf>
      <font>
        <color rgb="FF00CC00"/>
      </font>
    </dxf>
    <dxf>
      <font>
        <color theme="0"/>
      </font>
    </dxf>
    <dxf>
      <font>
        <color rgb="FF00B05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7" tint="0.79998168889431442"/>
      </font>
    </dxf>
    <dxf>
      <font>
        <color theme="9" tint="0.59996337778862885"/>
      </font>
    </dxf>
    <dxf>
      <font>
        <color theme="4" tint="0.79998168889431442"/>
      </font>
    </dxf>
    <dxf>
      <font>
        <color theme="6" tint="0.39994506668294322"/>
      </font>
    </dxf>
    <dxf>
      <font>
        <color theme="7" tint="0.59996337778862885"/>
      </font>
    </dxf>
    <dxf>
      <font>
        <color theme="9" tint="0.79998168889431442"/>
      </font>
    </dxf>
    <dxf>
      <font>
        <color theme="3" tint="0.79998168889431442"/>
      </font>
    </dxf>
    <dxf>
      <font>
        <color theme="3" tint="0.79998168889431442"/>
      </font>
    </dxf>
    <dxf>
      <font>
        <color rgb="FF00B050"/>
      </font>
    </dxf>
    <dxf>
      <font>
        <color rgb="FF00B050"/>
      </font>
    </dxf>
    <dxf>
      <numFmt numFmtId="170" formatCode=";;;"/>
    </dxf>
    <dxf>
      <font>
        <color rgb="FF00CC00"/>
      </font>
    </dxf>
    <dxf>
      <font>
        <color rgb="FF00CC00"/>
      </font>
    </dxf>
    <dxf>
      <font>
        <color auto="1"/>
      </font>
      <fill>
        <patternFill>
          <bgColor theme="0"/>
        </patternFill>
      </fill>
    </dxf>
    <dxf>
      <font>
        <color theme="0"/>
      </font>
    </dxf>
    <dxf>
      <font>
        <color theme="0"/>
      </font>
    </dxf>
    <dxf>
      <font>
        <color theme="1"/>
      </font>
    </dxf>
    <dxf>
      <font>
        <color theme="6" tint="0.39994506668294322"/>
      </font>
    </dxf>
    <dxf>
      <font>
        <color theme="0"/>
      </font>
    </dxf>
    <dxf>
      <font>
        <color theme="0"/>
      </font>
    </dxf>
    <dxf>
      <font>
        <color theme="0"/>
      </font>
    </dxf>
    <dxf>
      <font>
        <color rgb="FF00B050"/>
      </font>
    </dxf>
    <dxf>
      <font>
        <color rgb="FF00B050"/>
      </font>
    </dxf>
    <dxf>
      <font>
        <color rgb="FF00CC00"/>
      </font>
    </dxf>
    <dxf>
      <font>
        <color rgb="FF00CC00"/>
      </font>
    </dxf>
    <dxf>
      <font>
        <color theme="0"/>
      </font>
    </dxf>
    <dxf>
      <font>
        <color theme="0"/>
      </font>
    </dxf>
    <dxf>
      <font>
        <color theme="0"/>
      </font>
    </dxf>
    <dxf>
      <font>
        <color theme="0"/>
      </font>
    </dxf>
    <dxf>
      <font>
        <color rgb="FF00B050"/>
      </font>
    </dxf>
    <dxf>
      <font>
        <color theme="6" tint="0.59996337778862885"/>
      </font>
    </dxf>
    <dxf>
      <font>
        <color theme="0"/>
      </font>
    </dxf>
    <dxf>
      <font>
        <color theme="6" tint="0.59996337778862885"/>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rgb="FFFFFF99"/>
      </font>
    </dxf>
    <dxf>
      <font>
        <color rgb="FFFFFF99"/>
      </font>
    </dxf>
    <dxf>
      <font>
        <color rgb="FFFFFF99"/>
      </font>
    </dxf>
    <dxf>
      <font>
        <color theme="0"/>
      </font>
    </dxf>
    <dxf>
      <font>
        <color theme="0"/>
      </font>
    </dxf>
    <dxf>
      <font>
        <color theme="0"/>
      </font>
    </dxf>
    <dxf>
      <font>
        <color theme="0"/>
      </font>
    </dxf>
    <dxf>
      <font>
        <color theme="0"/>
      </font>
    </dxf>
    <dxf>
      <font>
        <color theme="0"/>
      </font>
    </dxf>
    <dxf>
      <font>
        <color theme="0"/>
      </font>
    </dxf>
    <dxf>
      <font>
        <color theme="0"/>
      </font>
    </dxf>
    <dxf>
      <font>
        <color rgb="FF00CC00"/>
      </font>
    </dxf>
    <dxf>
      <font>
        <color theme="0"/>
      </font>
    </dxf>
    <dxf>
      <font>
        <color theme="0"/>
      </font>
    </dxf>
    <dxf>
      <font>
        <color theme="0"/>
      </font>
    </dxf>
    <dxf>
      <font>
        <color rgb="FF00B050"/>
      </font>
    </dxf>
    <dxf>
      <font>
        <color rgb="FF00CC00"/>
      </font>
    </dxf>
    <dxf>
      <font>
        <color theme="0"/>
      </font>
    </dxf>
    <dxf>
      <font>
        <color rgb="FF00CC00"/>
      </font>
    </dxf>
    <dxf>
      <font>
        <color rgb="FF00CC00"/>
      </font>
    </dxf>
    <dxf>
      <font>
        <color theme="0"/>
      </font>
    </dxf>
    <dxf>
      <font>
        <color rgb="FF00B05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FFFF99"/>
      <color rgb="FF339966"/>
      <color rgb="FFFFFF66"/>
      <color rgb="FF0000FF"/>
      <color rgb="FFFFFFCC"/>
      <color rgb="FFFF3737"/>
      <color rgb="FFFF3300"/>
      <color rgb="FFCCECFF"/>
      <color rgb="FF99FFCC"/>
      <color rgb="FF66FF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214313</xdr:colOff>
      <xdr:row>69</xdr:row>
      <xdr:rowOff>238125</xdr:rowOff>
    </xdr:from>
    <xdr:to>
      <xdr:col>12</xdr:col>
      <xdr:colOff>698945</xdr:colOff>
      <xdr:row>70</xdr:row>
      <xdr:rowOff>202406</xdr:rowOff>
    </xdr:to>
    <xdr:sp macro="" textlink="">
      <xdr:nvSpPr>
        <xdr:cNvPr id="7" name="Flèche vers le bas 6"/>
        <xdr:cNvSpPr/>
      </xdr:nvSpPr>
      <xdr:spPr>
        <a:xfrm>
          <a:off x="8417719" y="13906500"/>
          <a:ext cx="484632" cy="214312"/>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BE" sz="1100"/>
        </a:p>
      </xdr:txBody>
    </xdr:sp>
    <xdr:clientData/>
  </xdr:twoCellAnchor>
  <xdr:twoCellAnchor>
    <xdr:from>
      <xdr:col>4</xdr:col>
      <xdr:colOff>845347</xdr:colOff>
      <xdr:row>59</xdr:row>
      <xdr:rowOff>119063</xdr:rowOff>
    </xdr:from>
    <xdr:to>
      <xdr:col>16</xdr:col>
      <xdr:colOff>1000126</xdr:colOff>
      <xdr:row>72</xdr:row>
      <xdr:rowOff>35719</xdr:rowOff>
    </xdr:to>
    <xdr:cxnSp macro="">
      <xdr:nvCxnSpPr>
        <xdr:cNvPr id="9" name="Connecteur en angle 8"/>
        <xdr:cNvCxnSpPr/>
      </xdr:nvCxnSpPr>
      <xdr:spPr>
        <a:xfrm rot="10800000">
          <a:off x="4095753" y="11287126"/>
          <a:ext cx="7584279" cy="3167062"/>
        </a:xfrm>
        <a:prstGeom prst="bentConnector3">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666750</xdr:colOff>
      <xdr:row>64</xdr:row>
      <xdr:rowOff>154780</xdr:rowOff>
    </xdr:from>
    <xdr:to>
      <xdr:col>14</xdr:col>
      <xdr:colOff>511970</xdr:colOff>
      <xdr:row>71</xdr:row>
      <xdr:rowOff>130968</xdr:rowOff>
    </xdr:to>
    <xdr:cxnSp macro="">
      <xdr:nvCxnSpPr>
        <xdr:cNvPr id="11" name="Connecteur droit avec flèche 10"/>
        <xdr:cNvCxnSpPr/>
      </xdr:nvCxnSpPr>
      <xdr:spPr>
        <a:xfrm flipH="1">
          <a:off x="8870156" y="12572999"/>
          <a:ext cx="1083470" cy="1726407"/>
        </a:xfrm>
        <a:prstGeom prst="straightConnector1">
          <a:avLst/>
        </a:prstGeom>
        <a:ln>
          <a:headEnd type="arrow"/>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79998168889431442"/>
  </sheetPr>
  <dimension ref="A1:AX122"/>
  <sheetViews>
    <sheetView showGridLines="0" tabSelected="1" topLeftCell="A41" zoomScale="80" zoomScaleNormal="80" workbookViewId="0">
      <selection activeCell="Y68" sqref="Y68"/>
    </sheetView>
  </sheetViews>
  <sheetFormatPr baseColWidth="10" defaultColWidth="11.42578125" defaultRowHeight="20.100000000000001" customHeight="1" x14ac:dyDescent="0.25"/>
  <cols>
    <col min="1" max="2" width="5.7109375" style="8" customWidth="1"/>
    <col min="3" max="3" width="35.5703125" style="8" customWidth="1"/>
    <col min="4" max="4" width="1.7109375" style="8" customWidth="1"/>
    <col min="5" max="5" width="16.7109375" style="8" customWidth="1"/>
    <col min="6" max="6" width="1.7109375" style="8" customWidth="1"/>
    <col min="7" max="7" width="16.7109375" style="8" customWidth="1"/>
    <col min="8" max="8" width="1.7109375" style="8" customWidth="1"/>
    <col min="9" max="9" width="16.7109375" style="8" customWidth="1"/>
    <col min="10" max="10" width="1.7109375" style="8" customWidth="1"/>
    <col min="11" max="11" width="16.7109375" style="8" customWidth="1"/>
    <col min="12" max="12" width="1.7109375" style="8" customWidth="1"/>
    <col min="13" max="13" width="16.7109375" style="8" customWidth="1"/>
    <col min="14" max="14" width="1.7109375" style="8" customWidth="1"/>
    <col min="15" max="15" width="16.7109375" style="8" customWidth="1"/>
    <col min="16" max="16" width="1.7109375" style="8" customWidth="1"/>
    <col min="17" max="17" width="16.7109375" style="53" customWidth="1"/>
    <col min="18" max="18" width="1.7109375" style="24" customWidth="1"/>
    <col min="19" max="19" width="16.7109375" style="8" customWidth="1"/>
    <col min="20" max="20" width="1.7109375" style="8" customWidth="1"/>
    <col min="21" max="21" width="16.7109375" style="8" customWidth="1"/>
    <col min="22" max="22" width="1.7109375" style="8" customWidth="1"/>
    <col min="23" max="23" width="16.7109375" style="8" customWidth="1"/>
    <col min="24" max="24" width="1.7109375" style="8" customWidth="1"/>
    <col min="25" max="25" width="16.7109375" style="8" customWidth="1"/>
    <col min="26" max="26" width="1.7109375" style="8" customWidth="1"/>
    <col min="27" max="27" width="16.7109375" style="8" customWidth="1"/>
    <col min="28" max="28" width="2.28515625" style="8" customWidth="1"/>
    <col min="29" max="29" width="6.42578125" style="8" customWidth="1"/>
    <col min="30" max="30" width="13.5703125" style="23" customWidth="1"/>
    <col min="31" max="33" width="15.7109375" style="23" customWidth="1"/>
    <col min="34" max="34" width="13.42578125" style="23" customWidth="1"/>
    <col min="35" max="35" width="15.7109375" style="23" customWidth="1"/>
    <col min="36" max="36" width="8.85546875" style="23" customWidth="1"/>
    <col min="37" max="43" width="15.7109375" style="7" customWidth="1"/>
    <col min="44" max="44" width="10.5703125" style="8" customWidth="1"/>
    <col min="45" max="59" width="15.7109375" style="8" customWidth="1"/>
    <col min="60" max="16384" width="11.42578125" style="8"/>
  </cols>
  <sheetData>
    <row r="1" spans="1:48" ht="19.5" customHeight="1" x14ac:dyDescent="0.25">
      <c r="B1" s="79"/>
      <c r="C1" s="79"/>
      <c r="D1" s="79"/>
      <c r="E1" s="79"/>
      <c r="F1" s="79"/>
      <c r="G1" s="79"/>
      <c r="H1" s="79"/>
      <c r="I1" s="79"/>
      <c r="J1" s="79"/>
      <c r="K1" s="79"/>
      <c r="L1" s="79"/>
      <c r="M1" s="79"/>
      <c r="N1" s="79"/>
      <c r="O1" s="79"/>
      <c r="P1" s="79"/>
      <c r="Q1" s="89"/>
      <c r="R1" s="76"/>
      <c r="S1" s="79"/>
      <c r="T1" s="79"/>
      <c r="U1" s="79"/>
      <c r="V1" s="79"/>
      <c r="W1" s="79"/>
      <c r="X1" s="79"/>
      <c r="Y1" s="79"/>
      <c r="Z1" s="79"/>
      <c r="AA1" s="79"/>
      <c r="AB1" s="79"/>
      <c r="AC1" s="79"/>
      <c r="AD1" s="26"/>
      <c r="AE1" s="26"/>
      <c r="AF1" s="26"/>
      <c r="AG1" s="26"/>
      <c r="AH1" s="26"/>
      <c r="AI1" s="26"/>
      <c r="AJ1" s="28"/>
      <c r="AK1" s="29"/>
      <c r="AL1" s="29"/>
      <c r="AM1" s="29"/>
      <c r="AN1" s="29"/>
      <c r="AO1" s="29"/>
      <c r="AP1" s="29"/>
      <c r="AQ1" s="29"/>
    </row>
    <row r="2" spans="1:48" ht="30" customHeight="1" x14ac:dyDescent="0.25">
      <c r="A2" s="12"/>
      <c r="B2" s="5"/>
      <c r="C2" s="218" t="s">
        <v>57</v>
      </c>
      <c r="D2" s="218"/>
      <c r="E2" s="218"/>
      <c r="F2" s="218"/>
      <c r="G2" s="5"/>
      <c r="H2" s="5"/>
      <c r="I2" s="5"/>
      <c r="J2" s="5"/>
      <c r="K2" s="6"/>
      <c r="L2" s="5"/>
      <c r="M2" s="5"/>
      <c r="N2" s="79"/>
      <c r="O2" s="6"/>
      <c r="P2" s="5"/>
      <c r="Q2" s="89"/>
      <c r="R2" s="76"/>
      <c r="S2" s="79"/>
      <c r="T2" s="79"/>
      <c r="U2" s="79"/>
      <c r="V2" s="79"/>
      <c r="W2" s="79"/>
      <c r="X2" s="79"/>
      <c r="Y2" s="79"/>
      <c r="Z2" s="79"/>
      <c r="AA2" s="79"/>
      <c r="AB2" s="79"/>
      <c r="AC2" s="79"/>
      <c r="AD2" s="60">
        <v>0</v>
      </c>
      <c r="AE2" s="26"/>
      <c r="AF2" s="62">
        <v>7500</v>
      </c>
      <c r="AG2" s="73">
        <v>4.5600000000000002E-2</v>
      </c>
      <c r="AH2" s="62" t="str">
        <f>IF($U$8+$Y$25&gt;AF2,"oui","non")</f>
        <v>oui</v>
      </c>
      <c r="AI2" s="62">
        <f>IF(AH2="oui",AF2,U8+Y25)</f>
        <v>7500</v>
      </c>
      <c r="AJ2" s="59">
        <f t="shared" ref="AJ2:AJ8" si="0">AI2*AG2</f>
        <v>342</v>
      </c>
      <c r="AK2" s="29"/>
      <c r="AL2" s="29"/>
      <c r="AM2" s="29"/>
      <c r="AN2" s="29"/>
      <c r="AO2" s="29"/>
      <c r="AP2" s="29"/>
      <c r="AQ2" s="29"/>
    </row>
    <row r="3" spans="1:48" ht="20.100000000000001" customHeight="1" x14ac:dyDescent="0.25">
      <c r="B3" s="79"/>
      <c r="C3" s="79"/>
      <c r="D3" s="79"/>
      <c r="E3" s="79"/>
      <c r="F3" s="79"/>
      <c r="G3" s="79"/>
      <c r="H3" s="79"/>
      <c r="I3" s="79"/>
      <c r="J3" s="79"/>
      <c r="K3" s="79"/>
      <c r="L3" s="79"/>
      <c r="M3" s="79"/>
      <c r="N3" s="79"/>
      <c r="O3" s="79"/>
      <c r="P3" s="79"/>
      <c r="Q3" s="89"/>
      <c r="R3" s="76"/>
      <c r="S3" s="79"/>
      <c r="T3" s="79"/>
      <c r="U3" s="79"/>
      <c r="V3" s="79"/>
      <c r="W3" s="79"/>
      <c r="X3" s="79"/>
      <c r="Y3" s="79"/>
      <c r="Z3" s="79"/>
      <c r="AA3" s="79"/>
      <c r="AB3" s="79"/>
      <c r="AC3" s="79"/>
      <c r="AD3" s="60">
        <v>7500</v>
      </c>
      <c r="AE3" s="26"/>
      <c r="AF3" s="62">
        <v>17500</v>
      </c>
      <c r="AG3" s="73">
        <v>2.8500000000000001E-2</v>
      </c>
      <c r="AH3" s="62" t="str">
        <f>IF($U$8+$Y$25&gt;AF3,"oui","non")</f>
        <v>oui</v>
      </c>
      <c r="AI3" s="62">
        <f>IF(AH3="oui",AF3-AF2,$S$4+$Y$25-AI2)</f>
        <v>10000</v>
      </c>
      <c r="AJ3" s="59">
        <f t="shared" si="0"/>
        <v>285</v>
      </c>
      <c r="AK3" s="29"/>
      <c r="AL3" s="29"/>
      <c r="AM3" s="29"/>
      <c r="AN3" s="29"/>
      <c r="AO3" s="29"/>
      <c r="AP3" s="29"/>
      <c r="AQ3" s="29"/>
    </row>
    <row r="4" spans="1:48" ht="20.100000000000001" customHeight="1" x14ac:dyDescent="0.25">
      <c r="B4" s="79"/>
      <c r="C4" s="79"/>
      <c r="D4" s="79"/>
      <c r="E4" s="79"/>
      <c r="F4" s="79"/>
      <c r="G4" s="79"/>
      <c r="H4" s="79"/>
      <c r="I4" s="79"/>
      <c r="J4" s="79"/>
      <c r="K4" s="79"/>
      <c r="L4" s="79"/>
      <c r="M4" s="79"/>
      <c r="N4" s="79"/>
      <c r="O4" s="79"/>
      <c r="P4" s="79"/>
      <c r="Q4" s="89"/>
      <c r="R4" s="76"/>
      <c r="S4" s="79"/>
      <c r="T4" s="79"/>
      <c r="U4" s="79"/>
      <c r="V4" s="79"/>
      <c r="W4" s="79"/>
      <c r="X4" s="79"/>
      <c r="Y4" s="79"/>
      <c r="Z4" s="79"/>
      <c r="AA4" s="79"/>
      <c r="AB4" s="79"/>
      <c r="AC4" s="79"/>
      <c r="AD4" s="60">
        <v>17500</v>
      </c>
      <c r="AE4" s="26"/>
      <c r="AF4" s="62">
        <v>30000</v>
      </c>
      <c r="AG4" s="73">
        <v>2.2800000000000001E-2</v>
      </c>
      <c r="AH4" s="62" t="str">
        <f>IF($U$8+$Y$25&gt;AF4,"oui","non")</f>
        <v>oui</v>
      </c>
      <c r="AI4" s="62">
        <f>IF(AH4="oui",AF4-AF3,$S$4+$Y$25-AI3-AI2)</f>
        <v>12500</v>
      </c>
      <c r="AJ4" s="59">
        <f t="shared" si="0"/>
        <v>285</v>
      </c>
      <c r="AK4" s="29"/>
      <c r="AL4" s="29"/>
      <c r="AM4" s="29"/>
      <c r="AN4" s="29"/>
      <c r="AO4" s="29"/>
      <c r="AP4" s="29"/>
      <c r="AQ4" s="29"/>
    </row>
    <row r="5" spans="1:48" ht="9.9499999999999993" customHeight="1" x14ac:dyDescent="0.25">
      <c r="B5" s="79"/>
      <c r="C5" s="79"/>
      <c r="D5" s="79"/>
      <c r="E5" s="79"/>
      <c r="F5" s="79"/>
      <c r="G5" s="79"/>
      <c r="H5" s="79"/>
      <c r="I5" s="79"/>
      <c r="J5" s="79"/>
      <c r="K5" s="79"/>
      <c r="L5" s="79"/>
      <c r="M5" s="79"/>
      <c r="N5" s="79"/>
      <c r="O5" s="79"/>
      <c r="P5" s="79"/>
      <c r="Q5" s="89"/>
      <c r="R5" s="76"/>
      <c r="S5" s="79"/>
      <c r="T5" s="79"/>
      <c r="U5" s="79"/>
      <c r="V5" s="79"/>
      <c r="W5" s="79"/>
      <c r="X5" s="79"/>
      <c r="Y5" s="79"/>
      <c r="Z5" s="79"/>
      <c r="AA5" s="79"/>
      <c r="AB5" s="79"/>
      <c r="AC5" s="79"/>
      <c r="AD5" s="60">
        <v>30000</v>
      </c>
      <c r="AE5" s="26"/>
      <c r="AF5" s="62">
        <v>45495</v>
      </c>
      <c r="AG5" s="73">
        <v>1.7100000000000001E-2</v>
      </c>
      <c r="AH5" s="62" t="str">
        <f>IF($U$8+$Y$25&gt;AF5,"oui","non")</f>
        <v>oui</v>
      </c>
      <c r="AI5" s="62">
        <f>IF(AH5="oui",AF5-AF4,$S$4+$U$25-AI4-AI3-AI2)</f>
        <v>15495</v>
      </c>
      <c r="AJ5" s="59">
        <f t="shared" si="0"/>
        <v>264.96449999999999</v>
      </c>
      <c r="AK5" s="29"/>
      <c r="AL5" s="29"/>
      <c r="AM5" s="29"/>
      <c r="AN5" s="29"/>
      <c r="AO5" s="29"/>
      <c r="AP5" s="29"/>
      <c r="AQ5" s="29"/>
      <c r="AU5" s="9"/>
    </row>
    <row r="6" spans="1:48" ht="20.100000000000001" customHeight="1" x14ac:dyDescent="0.25">
      <c r="B6" s="79"/>
      <c r="C6" s="219"/>
      <c r="D6" s="89"/>
      <c r="E6" s="220" t="s">
        <v>53</v>
      </c>
      <c r="F6" s="220"/>
      <c r="G6" s="220"/>
      <c r="H6" s="56"/>
      <c r="I6" s="220" t="s">
        <v>54</v>
      </c>
      <c r="J6" s="220"/>
      <c r="K6" s="220"/>
      <c r="L6" s="56"/>
      <c r="M6" s="220" t="s">
        <v>55</v>
      </c>
      <c r="N6" s="220"/>
      <c r="O6" s="220"/>
      <c r="P6" s="63"/>
      <c r="Q6" s="221" t="s">
        <v>10</v>
      </c>
      <c r="R6" s="219"/>
      <c r="S6" s="79"/>
      <c r="T6" s="79"/>
      <c r="U6" s="222" t="s">
        <v>11</v>
      </c>
      <c r="V6" s="79"/>
      <c r="W6" s="223"/>
      <c r="X6" s="224"/>
      <c r="Y6" s="225"/>
      <c r="Z6" s="226"/>
      <c r="AA6" s="222"/>
      <c r="AB6" s="25"/>
      <c r="AC6" s="25"/>
      <c r="AD6" s="60">
        <v>45495</v>
      </c>
      <c r="AE6" s="26"/>
      <c r="AF6" s="62">
        <v>64095</v>
      </c>
      <c r="AG6" s="73">
        <v>1.14E-2</v>
      </c>
      <c r="AH6" s="62" t="str">
        <f>IF($U$8+$Y$25&gt;AF6,"oui","non")</f>
        <v>oui</v>
      </c>
      <c r="AI6" s="62">
        <f>IF(AH6="oui",AF6-AF5,$S$4+$Y$25-AI5-AI4-AI3-AI2)</f>
        <v>18600</v>
      </c>
      <c r="AJ6" s="59">
        <f t="shared" si="0"/>
        <v>212.04000000000002</v>
      </c>
      <c r="AK6" s="29"/>
      <c r="AL6" s="29"/>
      <c r="AM6" s="29"/>
      <c r="AN6" s="29"/>
      <c r="AO6" s="29"/>
      <c r="AP6" s="29"/>
      <c r="AQ6" s="29"/>
      <c r="AR6" s="10"/>
      <c r="AS6" s="11"/>
      <c r="AT6" s="11"/>
      <c r="AU6" s="11"/>
      <c r="AV6" s="11"/>
    </row>
    <row r="7" spans="1:48" ht="9.9499999999999993" customHeight="1" x14ac:dyDescent="0.25">
      <c r="B7" s="79"/>
      <c r="C7" s="89"/>
      <c r="D7" s="89"/>
      <c r="E7" s="76"/>
      <c r="F7" s="4"/>
      <c r="G7" s="4"/>
      <c r="H7" s="56"/>
      <c r="I7" s="76"/>
      <c r="J7" s="4"/>
      <c r="K7" s="4"/>
      <c r="L7" s="56"/>
      <c r="M7" s="76"/>
      <c r="N7" s="4"/>
      <c r="O7" s="4"/>
      <c r="P7" s="4"/>
      <c r="Q7" s="89"/>
      <c r="R7" s="79"/>
      <c r="S7" s="79"/>
      <c r="T7" s="79"/>
      <c r="U7" s="79"/>
      <c r="V7" s="79"/>
      <c r="W7" s="79"/>
      <c r="X7" s="79"/>
      <c r="Y7" s="79"/>
      <c r="Z7" s="79"/>
      <c r="AA7" s="79"/>
      <c r="AB7" s="79"/>
      <c r="AC7" s="79"/>
      <c r="AD7" s="60">
        <v>64095</v>
      </c>
      <c r="AE7" s="26"/>
      <c r="AF7" s="62">
        <v>250095</v>
      </c>
      <c r="AG7" s="73">
        <v>5.7000000000000002E-3</v>
      </c>
      <c r="AH7" s="62" t="str">
        <f>IF($U$8+$Y$25+AJ3&gt;AF7,"oui","non")</f>
        <v>non</v>
      </c>
      <c r="AI7" s="62">
        <f>IF(AH7="oui",AF7-AF6,$U$8+$Y$25-AI6-AI5-AI4-AI3-AI2)</f>
        <v>35905</v>
      </c>
      <c r="AJ7" s="59">
        <f t="shared" si="0"/>
        <v>204.6585</v>
      </c>
      <c r="AK7" s="29"/>
      <c r="AL7" s="29"/>
      <c r="AM7" s="29"/>
      <c r="AN7" s="29"/>
      <c r="AO7" s="29"/>
      <c r="AP7" s="29"/>
      <c r="AQ7" s="29"/>
      <c r="AR7" s="12"/>
      <c r="AS7" s="12"/>
      <c r="AT7" s="12"/>
      <c r="AU7" s="12"/>
      <c r="AV7" s="12"/>
    </row>
    <row r="8" spans="1:48" ht="20.100000000000001" customHeight="1" x14ac:dyDescent="0.25">
      <c r="B8" s="79"/>
      <c r="C8" s="227" t="s">
        <v>4</v>
      </c>
      <c r="D8" s="89"/>
      <c r="E8" s="228"/>
      <c r="F8" s="228"/>
      <c r="G8" s="228"/>
      <c r="H8" s="56"/>
      <c r="I8" s="228"/>
      <c r="J8" s="228"/>
      <c r="K8" s="228"/>
      <c r="L8" s="56"/>
      <c r="M8" s="228"/>
      <c r="N8" s="228"/>
      <c r="O8" s="228"/>
      <c r="P8" s="229"/>
      <c r="Q8" s="230" t="s">
        <v>14</v>
      </c>
      <c r="R8" s="230"/>
      <c r="S8" s="230"/>
      <c r="T8" s="79"/>
      <c r="U8" s="56">
        <v>100000</v>
      </c>
      <c r="V8" s="79"/>
      <c r="W8" s="79"/>
      <c r="X8" s="231"/>
      <c r="Y8" s="227"/>
      <c r="Z8" s="79"/>
      <c r="AA8" s="56"/>
      <c r="AB8" s="28"/>
      <c r="AC8" s="28"/>
      <c r="AD8" s="60">
        <v>250095</v>
      </c>
      <c r="AE8" s="26"/>
      <c r="AF8" s="62"/>
      <c r="AG8" s="73">
        <v>5.6999999999999998E-4</v>
      </c>
      <c r="AH8" s="62" t="s">
        <v>18</v>
      </c>
      <c r="AI8" s="62">
        <f>IF(U8+Y25&gt;=AD8,U8+Y25,0)</f>
        <v>0</v>
      </c>
      <c r="AJ8" s="59">
        <f t="shared" si="0"/>
        <v>0</v>
      </c>
      <c r="AK8" s="29"/>
      <c r="AL8" s="29"/>
      <c r="AM8" s="29"/>
      <c r="AN8" s="29"/>
      <c r="AO8" s="29"/>
      <c r="AP8" s="29"/>
      <c r="AQ8" s="29"/>
      <c r="AR8" s="13"/>
      <c r="AS8" s="3"/>
      <c r="AT8" s="14"/>
      <c r="AU8" s="14"/>
      <c r="AV8" s="14"/>
    </row>
    <row r="9" spans="1:48" ht="20.100000000000001" customHeight="1" x14ac:dyDescent="0.25">
      <c r="B9" s="79"/>
      <c r="C9" s="227" t="s">
        <v>6</v>
      </c>
      <c r="D9" s="89"/>
      <c r="E9" s="228"/>
      <c r="F9" s="228"/>
      <c r="G9" s="228"/>
      <c r="H9" s="56"/>
      <c r="I9" s="228"/>
      <c r="J9" s="228"/>
      <c r="K9" s="228"/>
      <c r="L9" s="56"/>
      <c r="M9" s="228"/>
      <c r="N9" s="228"/>
      <c r="O9" s="228"/>
      <c r="P9" s="229"/>
      <c r="Q9" s="228" t="s">
        <v>15</v>
      </c>
      <c r="R9" s="228"/>
      <c r="S9" s="228"/>
      <c r="T9" s="79"/>
      <c r="U9" s="56"/>
      <c r="V9" s="79"/>
      <c r="W9" s="79"/>
      <c r="X9" s="231"/>
      <c r="Y9" s="231"/>
      <c r="Z9" s="79"/>
      <c r="AA9" s="56"/>
      <c r="AB9" s="28"/>
      <c r="AC9" s="28"/>
      <c r="AD9" s="74"/>
      <c r="AE9" s="26"/>
      <c r="AF9" s="74"/>
      <c r="AG9" s="56"/>
      <c r="AH9" s="56"/>
      <c r="AI9" s="56"/>
      <c r="AJ9" s="56"/>
      <c r="AK9" s="29"/>
      <c r="AL9" s="29"/>
      <c r="AM9" s="29"/>
      <c r="AN9" s="29"/>
      <c r="AO9" s="29"/>
      <c r="AP9" s="29"/>
      <c r="AQ9" s="29"/>
      <c r="AR9" s="13"/>
      <c r="AS9" s="3"/>
      <c r="AT9" s="14"/>
      <c r="AU9" s="14"/>
      <c r="AV9" s="14"/>
    </row>
    <row r="10" spans="1:48" ht="20.100000000000001" customHeight="1" x14ac:dyDescent="0.25">
      <c r="B10" s="79"/>
      <c r="C10" s="227" t="s">
        <v>17</v>
      </c>
      <c r="D10" s="89"/>
      <c r="E10" s="228"/>
      <c r="F10" s="228"/>
      <c r="G10" s="228"/>
      <c r="H10" s="56"/>
      <c r="I10" s="228"/>
      <c r="J10" s="228"/>
      <c r="K10" s="228"/>
      <c r="L10" s="56"/>
      <c r="M10" s="228"/>
      <c r="N10" s="228"/>
      <c r="O10" s="228"/>
      <c r="P10" s="229"/>
      <c r="Q10" s="228" t="s">
        <v>16</v>
      </c>
      <c r="R10" s="228"/>
      <c r="S10" s="228"/>
      <c r="T10" s="79"/>
      <c r="U10" s="232">
        <f>U9*21%</f>
        <v>0</v>
      </c>
      <c r="V10" s="79"/>
      <c r="W10" s="79"/>
      <c r="X10" s="231"/>
      <c r="Y10" s="231"/>
      <c r="Z10" s="79"/>
      <c r="AA10" s="78"/>
      <c r="AB10" s="28"/>
      <c r="AC10" s="28"/>
      <c r="AD10" s="60">
        <v>0</v>
      </c>
      <c r="AE10" s="26"/>
      <c r="AF10" s="62">
        <v>7500</v>
      </c>
      <c r="AG10" s="73">
        <v>1.7100000000000001E-2</v>
      </c>
      <c r="AH10" s="62" t="str">
        <f>IF($U$8+$Y$25&gt;AF10,"oui","non")</f>
        <v>oui</v>
      </c>
      <c r="AI10" s="62">
        <f>IF(AH10="oui",AF10,U8+Y25)</f>
        <v>7500</v>
      </c>
      <c r="AJ10" s="59">
        <f>AI10*AG10</f>
        <v>128.25</v>
      </c>
      <c r="AK10" s="29"/>
      <c r="AL10" s="29"/>
      <c r="AM10" s="29"/>
      <c r="AN10" s="29"/>
      <c r="AO10" s="29"/>
      <c r="AP10" s="29"/>
      <c r="AQ10" s="29"/>
      <c r="AR10" s="13"/>
      <c r="AS10" s="3"/>
      <c r="AT10" s="14"/>
      <c r="AU10" s="14"/>
      <c r="AV10" s="14"/>
    </row>
    <row r="11" spans="1:48" ht="20.100000000000001" customHeight="1" x14ac:dyDescent="0.25">
      <c r="B11" s="79"/>
      <c r="C11" s="227" t="s">
        <v>5</v>
      </c>
      <c r="D11" s="79"/>
      <c r="E11" s="233"/>
      <c r="F11" s="233"/>
      <c r="G11" s="233"/>
      <c r="H11" s="56"/>
      <c r="I11" s="233"/>
      <c r="J11" s="233"/>
      <c r="K11" s="233"/>
      <c r="L11" s="56"/>
      <c r="M11" s="233"/>
      <c r="N11" s="233"/>
      <c r="O11" s="233"/>
      <c r="P11" s="229"/>
      <c r="Q11" s="234" t="s">
        <v>19</v>
      </c>
      <c r="R11" s="234"/>
      <c r="S11" s="234"/>
      <c r="T11" s="79"/>
      <c r="U11" s="232">
        <f>U8+U9+U10</f>
        <v>100000</v>
      </c>
      <c r="V11" s="79"/>
      <c r="W11" s="79"/>
      <c r="X11" s="231"/>
      <c r="Y11" s="231"/>
      <c r="Z11" s="79"/>
      <c r="AA11" s="56"/>
      <c r="AB11" s="56"/>
      <c r="AC11" s="56"/>
      <c r="AD11" s="60">
        <v>7500</v>
      </c>
      <c r="AE11" s="26"/>
      <c r="AF11" s="62">
        <v>17500</v>
      </c>
      <c r="AG11" s="73">
        <v>1.3679999999999999E-2</v>
      </c>
      <c r="AH11" s="62" t="str">
        <f>IF($U$8+$Y$25&gt;AF11,"oui","non")</f>
        <v>oui</v>
      </c>
      <c r="AI11" s="62">
        <f>IF(AH11="oui",AF11-AF10,($U$8+$Y$25)-AI10)</f>
        <v>10000</v>
      </c>
      <c r="AJ11" s="59">
        <f>AI11*AG11</f>
        <v>136.79999999999998</v>
      </c>
      <c r="AK11" s="29"/>
      <c r="AL11" s="29"/>
      <c r="AM11" s="29"/>
      <c r="AN11" s="29"/>
      <c r="AO11" s="29"/>
      <c r="AP11" s="29"/>
      <c r="AQ11" s="29"/>
      <c r="AR11" s="15"/>
      <c r="AS11" s="3"/>
      <c r="AT11" s="14"/>
      <c r="AU11" s="14"/>
      <c r="AV11" s="14"/>
    </row>
    <row r="12" spans="1:48" ht="20.100000000000001" customHeight="1" x14ac:dyDescent="0.25">
      <c r="B12" s="79"/>
      <c r="C12" s="227" t="s">
        <v>0</v>
      </c>
      <c r="D12" s="89"/>
      <c r="E12" s="228"/>
      <c r="F12" s="228"/>
      <c r="G12" s="228"/>
      <c r="H12" s="56"/>
      <c r="I12" s="228"/>
      <c r="J12" s="228"/>
      <c r="K12" s="228"/>
      <c r="L12" s="56"/>
      <c r="M12" s="228"/>
      <c r="N12" s="228"/>
      <c r="O12" s="228"/>
      <c r="P12" s="229"/>
      <c r="Q12" s="2"/>
      <c r="R12" s="89"/>
      <c r="S12" s="89"/>
      <c r="T12" s="79"/>
      <c r="U12" s="232"/>
      <c r="V12" s="79"/>
      <c r="W12" s="79"/>
      <c r="X12" s="231"/>
      <c r="Y12" s="231"/>
      <c r="Z12" s="79"/>
      <c r="AA12" s="235"/>
      <c r="AB12" s="56"/>
      <c r="AC12" s="56"/>
      <c r="AD12" s="60"/>
      <c r="AE12" s="26"/>
      <c r="AF12" s="62"/>
      <c r="AG12" s="73"/>
      <c r="AH12" s="62"/>
      <c r="AI12" s="62"/>
      <c r="AJ12" s="59"/>
      <c r="AK12" s="29"/>
      <c r="AL12" s="29"/>
      <c r="AM12" s="29"/>
      <c r="AN12" s="29"/>
      <c r="AO12" s="29"/>
      <c r="AP12" s="29"/>
      <c r="AQ12" s="29"/>
      <c r="AR12" s="15"/>
      <c r="AS12" s="3"/>
      <c r="AT12" s="14"/>
      <c r="AU12" s="14"/>
      <c r="AV12" s="14"/>
    </row>
    <row r="13" spans="1:48" ht="20.100000000000001" customHeight="1" x14ac:dyDescent="0.25">
      <c r="B13" s="79"/>
      <c r="C13" s="227" t="s">
        <v>1</v>
      </c>
      <c r="D13" s="89"/>
      <c r="E13" s="236"/>
      <c r="F13" s="236"/>
      <c r="G13" s="236"/>
      <c r="H13" s="56"/>
      <c r="I13" s="228"/>
      <c r="J13" s="228"/>
      <c r="K13" s="228"/>
      <c r="L13" s="56"/>
      <c r="M13" s="228"/>
      <c r="N13" s="228"/>
      <c r="O13" s="228"/>
      <c r="P13" s="229"/>
      <c r="Q13" s="234" t="s">
        <v>20</v>
      </c>
      <c r="R13" s="234"/>
      <c r="S13" s="234"/>
      <c r="T13" s="79"/>
      <c r="U13" s="232"/>
      <c r="V13" s="79"/>
      <c r="W13" s="5"/>
      <c r="X13" s="5"/>
      <c r="Y13" s="5"/>
      <c r="Z13" s="79"/>
      <c r="AA13" s="56"/>
      <c r="AB13" s="56"/>
      <c r="AC13" s="56"/>
      <c r="AD13" s="60">
        <v>17500</v>
      </c>
      <c r="AE13" s="26"/>
      <c r="AF13" s="62">
        <v>30000</v>
      </c>
      <c r="AG13" s="73">
        <v>9.1199999999999996E-3</v>
      </c>
      <c r="AH13" s="62" t="str">
        <f>IF($U$8+$Y$25&gt;AF13,"oui","non")</f>
        <v>oui</v>
      </c>
      <c r="AI13" s="62">
        <f>IF(AH13="oui",AF13-AF11,($U$8+$Y$25)-AI11-AI10)</f>
        <v>12500</v>
      </c>
      <c r="AJ13" s="59">
        <f>AI13*AG13</f>
        <v>114</v>
      </c>
      <c r="AK13" s="29"/>
      <c r="AL13" s="29"/>
      <c r="AM13" s="29"/>
      <c r="AN13" s="29"/>
      <c r="AO13" s="29"/>
      <c r="AP13" s="29"/>
      <c r="AQ13" s="29"/>
      <c r="AR13" s="10"/>
      <c r="AS13" s="11"/>
      <c r="AT13" s="11"/>
      <c r="AU13" s="11"/>
      <c r="AV13" s="11"/>
    </row>
    <row r="14" spans="1:48" ht="9.9499999999999993" customHeight="1" x14ac:dyDescent="0.25">
      <c r="B14" s="79"/>
      <c r="C14" s="79"/>
      <c r="D14" s="79"/>
      <c r="E14" s="79"/>
      <c r="F14" s="79"/>
      <c r="G14" s="79"/>
      <c r="H14" s="79"/>
      <c r="I14" s="79"/>
      <c r="J14" s="79"/>
      <c r="K14" s="79"/>
      <c r="L14" s="79"/>
      <c r="M14" s="79"/>
      <c r="N14" s="79"/>
      <c r="O14" s="79"/>
      <c r="P14" s="79"/>
      <c r="Q14" s="89"/>
      <c r="R14" s="89"/>
      <c r="S14" s="89"/>
      <c r="T14" s="79"/>
      <c r="U14" s="79"/>
      <c r="V14" s="79"/>
      <c r="W14" s="5"/>
      <c r="X14" s="79"/>
      <c r="Y14" s="79"/>
      <c r="Z14" s="79"/>
      <c r="AA14" s="79"/>
      <c r="AB14" s="79"/>
      <c r="AC14" s="79"/>
      <c r="AD14" s="60">
        <v>30000</v>
      </c>
      <c r="AE14" s="26"/>
      <c r="AF14" s="62">
        <v>45495</v>
      </c>
      <c r="AG14" s="73">
        <v>6.8399999999999997E-3</v>
      </c>
      <c r="AH14" s="62" t="str">
        <f>IF($U$8+$Y$25&gt;AF14,"oui","non")</f>
        <v>oui</v>
      </c>
      <c r="AI14" s="62">
        <f>IF(AH14="oui",AF14-AF13,($U$8+$Y$25)-AI13-AI11-AI10)</f>
        <v>15495</v>
      </c>
      <c r="AJ14" s="59">
        <f>AI14*AG14</f>
        <v>105.9858</v>
      </c>
      <c r="AK14" s="29"/>
      <c r="AL14" s="29"/>
      <c r="AM14" s="29"/>
      <c r="AN14" s="29"/>
      <c r="AO14" s="29"/>
      <c r="AP14" s="29"/>
      <c r="AQ14" s="29"/>
      <c r="AR14" s="15"/>
      <c r="AS14" s="3"/>
      <c r="AT14" s="14"/>
      <c r="AU14" s="14"/>
      <c r="AV14" s="14"/>
    </row>
    <row r="15" spans="1:48" ht="20.100000000000001" customHeight="1" x14ac:dyDescent="0.25">
      <c r="B15" s="79"/>
      <c r="C15" s="237" t="s">
        <v>21</v>
      </c>
      <c r="D15" s="238"/>
      <c r="E15" s="219" t="s">
        <v>22</v>
      </c>
      <c r="F15" s="238"/>
      <c r="G15" s="239" t="s">
        <v>23</v>
      </c>
      <c r="H15" s="240"/>
      <c r="I15" s="222" t="s">
        <v>24</v>
      </c>
      <c r="J15" s="240"/>
      <c r="K15" s="240" t="s">
        <v>25</v>
      </c>
      <c r="L15" s="240"/>
      <c r="M15" s="240" t="s">
        <v>26</v>
      </c>
      <c r="N15" s="240"/>
      <c r="O15" s="240" t="s">
        <v>27</v>
      </c>
      <c r="P15" s="240"/>
      <c r="Q15" s="241" t="s">
        <v>28</v>
      </c>
      <c r="R15" s="242"/>
      <c r="S15" s="89"/>
      <c r="T15" s="79"/>
      <c r="U15" s="219" t="s">
        <v>29</v>
      </c>
      <c r="V15" s="226"/>
      <c r="W15" s="219" t="s">
        <v>16</v>
      </c>
      <c r="X15" s="226"/>
      <c r="Y15" s="219" t="s">
        <v>30</v>
      </c>
      <c r="Z15" s="79"/>
      <c r="AA15" s="79"/>
      <c r="AB15" s="79"/>
      <c r="AC15" s="79"/>
      <c r="AD15" s="60">
        <v>45495</v>
      </c>
      <c r="AE15" s="26"/>
      <c r="AF15" s="62">
        <v>64095</v>
      </c>
      <c r="AG15" s="73">
        <v>4.5599999999999998E-3</v>
      </c>
      <c r="AH15" s="62" t="str">
        <f>IF($U$8+$Y$25&gt;AF15,"oui","non")</f>
        <v>oui</v>
      </c>
      <c r="AI15" s="62">
        <f>IF(AH15="oui",AF15-AF14,($U$8+$Y$25)-AI14-AI13-AI11-AI10)</f>
        <v>18600</v>
      </c>
      <c r="AJ15" s="59">
        <f>AI15*AG15</f>
        <v>84.816000000000003</v>
      </c>
      <c r="AK15" s="29"/>
      <c r="AL15" s="29"/>
      <c r="AM15" s="29"/>
      <c r="AN15" s="29"/>
      <c r="AO15" s="29"/>
      <c r="AP15" s="29"/>
      <c r="AQ15" s="29"/>
      <c r="AR15" s="15"/>
      <c r="AS15" s="3"/>
      <c r="AT15" s="14"/>
      <c r="AU15" s="14"/>
      <c r="AV15" s="14"/>
    </row>
    <row r="16" spans="1:48" ht="9.9499999999999993" customHeight="1" x14ac:dyDescent="0.25">
      <c r="B16" s="79"/>
      <c r="C16" s="79"/>
      <c r="D16" s="89"/>
      <c r="E16" s="76"/>
      <c r="F16" s="4"/>
      <c r="G16" s="4"/>
      <c r="H16" s="25"/>
      <c r="I16" s="76"/>
      <c r="J16" s="4"/>
      <c r="K16" s="4"/>
      <c r="L16" s="25"/>
      <c r="M16" s="76"/>
      <c r="N16" s="76"/>
      <c r="O16" s="76"/>
      <c r="P16" s="76"/>
      <c r="Q16" s="89"/>
      <c r="R16" s="89"/>
      <c r="S16" s="89"/>
      <c r="T16" s="79"/>
      <c r="U16" s="79"/>
      <c r="V16" s="79"/>
      <c r="W16" s="79"/>
      <c r="X16" s="79"/>
      <c r="Y16" s="79"/>
      <c r="Z16" s="243"/>
      <c r="AA16" s="79"/>
      <c r="AB16" s="79"/>
      <c r="AC16" s="243"/>
      <c r="AD16" s="60">
        <v>64095</v>
      </c>
      <c r="AE16" s="26"/>
      <c r="AF16" s="62">
        <v>250095</v>
      </c>
      <c r="AG16" s="73">
        <v>2.2799999999999999E-3</v>
      </c>
      <c r="AH16" s="62" t="str">
        <f>IF($U$8+$Y$25&gt;AF16,"oui","non")</f>
        <v>non</v>
      </c>
      <c r="AI16" s="62">
        <f>IF(AH16="oui",AF16-AF15,($U$8+$Y$25)-AI15-AI14-AI13-AI11-AI10)</f>
        <v>35905</v>
      </c>
      <c r="AJ16" s="59">
        <f>AI16*AG16</f>
        <v>81.863399999999999</v>
      </c>
      <c r="AK16" s="29"/>
      <c r="AL16" s="29"/>
      <c r="AM16" s="29"/>
      <c r="AN16" s="29"/>
      <c r="AO16" s="29"/>
      <c r="AP16" s="29"/>
      <c r="AQ16" s="29"/>
      <c r="AR16" s="15"/>
      <c r="AS16" s="3"/>
      <c r="AT16" s="14"/>
      <c r="AU16" s="14"/>
      <c r="AV16" s="14"/>
    </row>
    <row r="17" spans="2:50" ht="20.100000000000001" customHeight="1" x14ac:dyDescent="0.25">
      <c r="B17" s="79"/>
      <c r="C17" s="89"/>
      <c r="D17" s="89"/>
      <c r="E17" s="56"/>
      <c r="F17" s="56"/>
      <c r="G17" s="244"/>
      <c r="H17" s="56"/>
      <c r="I17" s="78"/>
      <c r="J17" s="56"/>
      <c r="K17" s="56"/>
      <c r="L17" s="56"/>
      <c r="M17" s="245"/>
      <c r="N17" s="56"/>
      <c r="O17" s="56"/>
      <c r="P17" s="56"/>
      <c r="Q17" s="2" t="s">
        <v>32</v>
      </c>
      <c r="R17" s="2"/>
      <c r="S17" s="89"/>
      <c r="T17" s="79"/>
      <c r="U17" s="56"/>
      <c r="V17" s="79"/>
      <c r="W17" s="232">
        <f t="shared" ref="W17:W23" si="1">U17*21%</f>
        <v>0</v>
      </c>
      <c r="X17" s="79"/>
      <c r="Y17" s="56">
        <f t="shared" ref="Y17:Y23" si="2">U17+W17</f>
        <v>0</v>
      </c>
      <c r="Z17" s="79"/>
      <c r="AA17" s="79"/>
      <c r="AB17" s="79"/>
      <c r="AC17" s="79"/>
      <c r="AD17" s="60">
        <v>250095</v>
      </c>
      <c r="AE17" s="26"/>
      <c r="AF17" s="62"/>
      <c r="AG17" s="75">
        <v>4.5600000000000003E-4</v>
      </c>
      <c r="AH17" s="62" t="s">
        <v>18</v>
      </c>
      <c r="AI17" s="62">
        <f>IF((U8+Y25)&gt;=AD17,(U8+Y25)-AF16,0)</f>
        <v>0</v>
      </c>
      <c r="AJ17" s="59">
        <f>AI17*AG17</f>
        <v>0</v>
      </c>
      <c r="AK17" s="29"/>
      <c r="AL17" s="29"/>
      <c r="AM17" s="29"/>
      <c r="AN17" s="29"/>
      <c r="AO17" s="29"/>
      <c r="AP17" s="29"/>
      <c r="AQ17" s="29"/>
      <c r="AR17" s="15"/>
      <c r="AS17" s="3"/>
      <c r="AT17" s="14"/>
      <c r="AU17" s="14"/>
      <c r="AV17" s="14"/>
    </row>
    <row r="18" spans="2:50" ht="20.100000000000001" customHeight="1" x14ac:dyDescent="0.25">
      <c r="B18" s="79"/>
      <c r="C18" s="89" t="s">
        <v>2</v>
      </c>
      <c r="D18" s="89"/>
      <c r="E18" s="56"/>
      <c r="F18" s="56"/>
      <c r="G18" s="244"/>
      <c r="H18" s="56"/>
      <c r="I18" s="78"/>
      <c r="J18" s="56"/>
      <c r="K18" s="56"/>
      <c r="L18" s="56"/>
      <c r="M18" s="245"/>
      <c r="N18" s="56"/>
      <c r="O18" s="56"/>
      <c r="P18" s="56"/>
      <c r="Q18" s="2" t="s">
        <v>33</v>
      </c>
      <c r="R18" s="2"/>
      <c r="S18" s="89"/>
      <c r="T18" s="79"/>
      <c r="U18" s="28"/>
      <c r="V18" s="79"/>
      <c r="W18" s="232">
        <f t="shared" si="1"/>
        <v>0</v>
      </c>
      <c r="X18" s="79"/>
      <c r="Y18" s="56">
        <f t="shared" si="2"/>
        <v>0</v>
      </c>
      <c r="Z18" s="79"/>
      <c r="AA18" s="79"/>
      <c r="AB18" s="79"/>
      <c r="AC18" s="79"/>
      <c r="AD18" s="76"/>
      <c r="AE18" s="26"/>
      <c r="AF18" s="26"/>
      <c r="AG18" s="26"/>
      <c r="AH18" s="76"/>
      <c r="AI18" s="76"/>
      <c r="AJ18" s="59"/>
      <c r="AK18" s="29"/>
      <c r="AL18" s="29"/>
      <c r="AM18" s="29"/>
      <c r="AN18" s="29"/>
      <c r="AO18" s="29"/>
      <c r="AP18" s="29"/>
      <c r="AQ18" s="29"/>
      <c r="AS18" s="3"/>
      <c r="AT18" s="14"/>
      <c r="AU18" s="14"/>
      <c r="AV18" s="14"/>
    </row>
    <row r="19" spans="2:50" ht="20.100000000000001" customHeight="1" x14ac:dyDescent="0.25">
      <c r="B19" s="79"/>
      <c r="C19" s="89" t="s">
        <v>2</v>
      </c>
      <c r="D19" s="89"/>
      <c r="E19" s="56"/>
      <c r="F19" s="56"/>
      <c r="G19" s="244"/>
      <c r="H19" s="56"/>
      <c r="I19" s="78"/>
      <c r="J19" s="56"/>
      <c r="K19" s="56"/>
      <c r="L19" s="56"/>
      <c r="M19" s="245"/>
      <c r="N19" s="56"/>
      <c r="O19" s="56"/>
      <c r="P19" s="56"/>
      <c r="Q19" s="2" t="s">
        <v>35</v>
      </c>
      <c r="R19" s="2"/>
      <c r="S19" s="89"/>
      <c r="T19" s="79"/>
      <c r="U19" s="28"/>
      <c r="V19" s="79"/>
      <c r="W19" s="232">
        <f t="shared" si="1"/>
        <v>0</v>
      </c>
      <c r="X19" s="79"/>
      <c r="Y19" s="56">
        <f t="shared" si="2"/>
        <v>0</v>
      </c>
      <c r="Z19" s="79"/>
      <c r="AA19" s="79"/>
      <c r="AB19" s="79"/>
      <c r="AC19" s="79"/>
      <c r="AD19" s="88" t="s">
        <v>9</v>
      </c>
      <c r="AE19" s="26" t="s">
        <v>12</v>
      </c>
      <c r="AF19" s="61"/>
      <c r="AG19" s="60"/>
      <c r="AH19" s="62"/>
      <c r="AI19" s="62"/>
      <c r="AJ19" s="59"/>
      <c r="AK19" s="29"/>
      <c r="AL19" s="29"/>
      <c r="AM19" s="29"/>
      <c r="AN19" s="29"/>
      <c r="AO19" s="29"/>
      <c r="AP19" s="29"/>
      <c r="AQ19" s="29"/>
      <c r="AS19" s="3"/>
      <c r="AT19" s="14"/>
      <c r="AU19" s="14"/>
      <c r="AV19" s="14"/>
    </row>
    <row r="20" spans="2:50" ht="20.100000000000001" customHeight="1" x14ac:dyDescent="0.25">
      <c r="B20" s="79"/>
      <c r="C20" s="89"/>
      <c r="D20" s="89"/>
      <c r="E20" s="56"/>
      <c r="F20" s="56"/>
      <c r="G20" s="244"/>
      <c r="H20" s="56"/>
      <c r="I20" s="78"/>
      <c r="J20" s="56"/>
      <c r="K20" s="56"/>
      <c r="L20" s="56"/>
      <c r="M20" s="245"/>
      <c r="N20" s="56"/>
      <c r="O20" s="56"/>
      <c r="P20" s="56"/>
      <c r="Q20" s="2" t="s">
        <v>37</v>
      </c>
      <c r="R20" s="2"/>
      <c r="S20" s="89"/>
      <c r="T20" s="79"/>
      <c r="U20" s="28"/>
      <c r="V20" s="79"/>
      <c r="W20" s="232">
        <f t="shared" si="1"/>
        <v>0</v>
      </c>
      <c r="X20" s="79"/>
      <c r="Y20" s="56">
        <f t="shared" si="2"/>
        <v>0</v>
      </c>
      <c r="Z20" s="79"/>
      <c r="AA20" s="79"/>
      <c r="AB20" s="79"/>
      <c r="AC20" s="79"/>
      <c r="AD20" s="88" t="s">
        <v>7</v>
      </c>
      <c r="AE20" s="63">
        <v>25000</v>
      </c>
      <c r="AF20" s="61">
        <v>391.1</v>
      </c>
      <c r="AG20" s="60"/>
      <c r="AH20" s="62"/>
      <c r="AI20" s="62"/>
      <c r="AJ20" s="59"/>
      <c r="AK20" s="29"/>
      <c r="AL20" s="29"/>
      <c r="AM20" s="29"/>
      <c r="AN20" s="29"/>
      <c r="AO20" s="29"/>
      <c r="AP20" s="29"/>
      <c r="AQ20" s="29"/>
      <c r="AS20" s="3"/>
      <c r="AT20" s="12"/>
      <c r="AU20" s="12"/>
      <c r="AV20" s="12"/>
    </row>
    <row r="21" spans="2:50" ht="20.100000000000001" customHeight="1" x14ac:dyDescent="0.25">
      <c r="B21" s="79"/>
      <c r="C21" s="89"/>
      <c r="D21" s="89"/>
      <c r="E21" s="56"/>
      <c r="F21" s="56"/>
      <c r="G21" s="244"/>
      <c r="H21" s="56"/>
      <c r="I21" s="78"/>
      <c r="J21" s="56"/>
      <c r="K21" s="56"/>
      <c r="L21" s="56"/>
      <c r="M21" s="245"/>
      <c r="N21" s="56"/>
      <c r="O21" s="56"/>
      <c r="P21" s="56"/>
      <c r="Q21" s="2" t="s">
        <v>39</v>
      </c>
      <c r="R21" s="2"/>
      <c r="S21" s="89"/>
      <c r="T21" s="79"/>
      <c r="U21" s="28"/>
      <c r="V21" s="79"/>
      <c r="W21" s="232">
        <f t="shared" si="1"/>
        <v>0</v>
      </c>
      <c r="X21" s="79"/>
      <c r="Y21" s="56">
        <f t="shared" si="2"/>
        <v>0</v>
      </c>
      <c r="Z21" s="79"/>
      <c r="AA21" s="79"/>
      <c r="AB21" s="79"/>
      <c r="AC21" s="79"/>
      <c r="AD21" s="88" t="s">
        <v>46</v>
      </c>
      <c r="AE21" s="63">
        <v>30000</v>
      </c>
      <c r="AF21" s="61">
        <v>423.98</v>
      </c>
      <c r="AG21" s="60"/>
      <c r="AH21" s="62"/>
      <c r="AI21" s="62"/>
      <c r="AJ21" s="59"/>
      <c r="AK21" s="29"/>
      <c r="AL21" s="29"/>
      <c r="AM21" s="29"/>
      <c r="AN21" s="29"/>
      <c r="AO21" s="29"/>
      <c r="AP21" s="29"/>
      <c r="AQ21" s="29"/>
      <c r="AR21" s="51"/>
      <c r="AS21" s="11"/>
      <c r="AT21" s="11"/>
      <c r="AU21" s="17"/>
      <c r="AV21" s="17"/>
    </row>
    <row r="22" spans="2:50" ht="20.100000000000001" customHeight="1" x14ac:dyDescent="0.25">
      <c r="B22" s="79"/>
      <c r="C22" s="89"/>
      <c r="D22" s="89"/>
      <c r="E22" s="56"/>
      <c r="F22" s="56"/>
      <c r="G22" s="244"/>
      <c r="H22" s="56"/>
      <c r="I22" s="78"/>
      <c r="J22" s="56"/>
      <c r="K22" s="56"/>
      <c r="L22" s="56"/>
      <c r="M22" s="245"/>
      <c r="N22" s="56"/>
      <c r="O22" s="56"/>
      <c r="P22" s="56"/>
      <c r="Q22" s="2" t="s">
        <v>41</v>
      </c>
      <c r="R22" s="2"/>
      <c r="S22" s="89"/>
      <c r="T22" s="79"/>
      <c r="U22" s="28"/>
      <c r="V22" s="79"/>
      <c r="W22" s="232">
        <f t="shared" si="1"/>
        <v>0</v>
      </c>
      <c r="X22" s="79"/>
      <c r="Y22" s="56">
        <f t="shared" si="2"/>
        <v>0</v>
      </c>
      <c r="Z22" s="79"/>
      <c r="AA22" s="79"/>
      <c r="AB22" s="79"/>
      <c r="AC22" s="79"/>
      <c r="AD22" s="88" t="s">
        <v>50</v>
      </c>
      <c r="AE22" s="63">
        <v>40000</v>
      </c>
      <c r="AF22" s="61">
        <v>431.08</v>
      </c>
      <c r="AG22" s="60"/>
      <c r="AH22" s="62"/>
      <c r="AI22" s="62"/>
      <c r="AJ22" s="59"/>
      <c r="AK22" s="30"/>
      <c r="AL22" s="76"/>
      <c r="AM22" s="76"/>
      <c r="AN22" s="76"/>
      <c r="AO22" s="29"/>
      <c r="AP22" s="29"/>
      <c r="AQ22" s="29"/>
      <c r="AS22" s="12"/>
      <c r="AT22" s="12"/>
      <c r="AU22" s="16"/>
      <c r="AV22" s="16"/>
    </row>
    <row r="23" spans="2:50" ht="20.100000000000001" customHeight="1" x14ac:dyDescent="0.25">
      <c r="B23" s="79"/>
      <c r="C23" s="89"/>
      <c r="D23" s="89"/>
      <c r="E23" s="56"/>
      <c r="F23" s="56"/>
      <c r="G23" s="244"/>
      <c r="H23" s="56"/>
      <c r="I23" s="78"/>
      <c r="J23" s="56"/>
      <c r="K23" s="56"/>
      <c r="L23" s="56"/>
      <c r="M23" s="245"/>
      <c r="N23" s="56"/>
      <c r="O23" s="56"/>
      <c r="P23" s="56"/>
      <c r="Q23" s="2" t="s">
        <v>44</v>
      </c>
      <c r="R23" s="2"/>
      <c r="S23" s="89"/>
      <c r="T23" s="79"/>
      <c r="U23" s="28"/>
      <c r="V23" s="79"/>
      <c r="W23" s="232">
        <f t="shared" si="1"/>
        <v>0</v>
      </c>
      <c r="X23" s="79"/>
      <c r="Y23" s="56">
        <f t="shared" si="2"/>
        <v>0</v>
      </c>
      <c r="Z23" s="79"/>
      <c r="AA23" s="79"/>
      <c r="AB23" s="79"/>
      <c r="AC23" s="79"/>
      <c r="AD23" s="89" t="s">
        <v>8</v>
      </c>
      <c r="AE23" s="63">
        <v>50000</v>
      </c>
      <c r="AF23" s="61">
        <v>453.29</v>
      </c>
      <c r="AG23" s="60"/>
      <c r="AH23" s="62"/>
      <c r="AI23" s="62"/>
      <c r="AJ23" s="59"/>
      <c r="AK23" s="29"/>
      <c r="AL23" s="64" t="s">
        <v>40</v>
      </c>
      <c r="AM23" s="77"/>
      <c r="AN23" s="2">
        <v>10</v>
      </c>
      <c r="AO23" s="29"/>
      <c r="AP23" s="29"/>
      <c r="AQ23" s="29"/>
      <c r="AR23" s="52"/>
      <c r="AS23" s="3"/>
      <c r="AT23" s="14"/>
      <c r="AU23" s="19"/>
      <c r="AV23" s="19"/>
    </row>
    <row r="24" spans="2:50" ht="20.100000000000001" customHeight="1" x14ac:dyDescent="0.25">
      <c r="B24" s="79"/>
      <c r="C24" s="89" t="s">
        <v>2</v>
      </c>
      <c r="D24" s="89"/>
      <c r="E24" s="56"/>
      <c r="F24" s="56"/>
      <c r="G24" s="244"/>
      <c r="H24" s="56"/>
      <c r="I24" s="78"/>
      <c r="J24" s="56"/>
      <c r="K24" s="56"/>
      <c r="L24" s="56"/>
      <c r="M24" s="245"/>
      <c r="N24" s="56"/>
      <c r="O24" s="56"/>
      <c r="P24" s="56"/>
      <c r="Q24" s="2"/>
      <c r="R24" s="2"/>
      <c r="S24" s="89"/>
      <c r="T24" s="79"/>
      <c r="U24" s="28"/>
      <c r="V24" s="79"/>
      <c r="W24" s="57"/>
      <c r="X24" s="79"/>
      <c r="Y24" s="56"/>
      <c r="Z24" s="79"/>
      <c r="AA24" s="79"/>
      <c r="AB24" s="79"/>
      <c r="AC24" s="79"/>
      <c r="AD24" s="64"/>
      <c r="AE24" s="63">
        <v>60000</v>
      </c>
      <c r="AF24" s="61">
        <v>464.69</v>
      </c>
      <c r="AG24" s="60"/>
      <c r="AH24" s="62"/>
      <c r="AI24" s="62"/>
      <c r="AJ24" s="59"/>
      <c r="AK24" s="4"/>
      <c r="AL24" s="64" t="s">
        <v>72</v>
      </c>
      <c r="AM24" s="78"/>
      <c r="AN24" s="2">
        <v>15</v>
      </c>
      <c r="AO24" s="29"/>
      <c r="AP24" s="29"/>
      <c r="AQ24" s="29"/>
      <c r="AS24" s="3"/>
      <c r="AT24" s="14"/>
      <c r="AU24" s="19"/>
      <c r="AV24" s="19"/>
    </row>
    <row r="25" spans="2:50" ht="20.100000000000001" customHeight="1" x14ac:dyDescent="0.25">
      <c r="B25" s="79"/>
      <c r="C25" s="89"/>
      <c r="D25" s="89"/>
      <c r="E25" s="56">
        <f>SUM(E17:E24)</f>
        <v>0</v>
      </c>
      <c r="F25" s="56">
        <f t="shared" ref="F25:O25" si="3">SUM(F17:F24)</f>
        <v>0</v>
      </c>
      <c r="G25" s="56"/>
      <c r="H25" s="56">
        <f t="shared" si="3"/>
        <v>0</v>
      </c>
      <c r="I25" s="56"/>
      <c r="J25" s="56">
        <f t="shared" si="3"/>
        <v>0</v>
      </c>
      <c r="K25" s="56">
        <f t="shared" si="3"/>
        <v>0</v>
      </c>
      <c r="L25" s="56">
        <f t="shared" si="3"/>
        <v>0</v>
      </c>
      <c r="M25" s="56"/>
      <c r="N25" s="56">
        <f t="shared" si="3"/>
        <v>0</v>
      </c>
      <c r="O25" s="56">
        <f t="shared" si="3"/>
        <v>0</v>
      </c>
      <c r="P25" s="56"/>
      <c r="Q25" s="89"/>
      <c r="R25" s="2"/>
      <c r="S25" s="89"/>
      <c r="T25" s="79"/>
      <c r="U25" s="246"/>
      <c r="V25" s="227"/>
      <c r="W25" s="247" t="s">
        <v>49</v>
      </c>
      <c r="X25" s="79"/>
      <c r="Y25" s="235">
        <f>SUM(Y17:Y23)</f>
        <v>0</v>
      </c>
      <c r="Z25" s="4"/>
      <c r="AA25" s="79"/>
      <c r="AB25" s="79"/>
      <c r="AC25" s="4"/>
      <c r="AD25" s="64"/>
      <c r="AE25" s="63">
        <v>70000</v>
      </c>
      <c r="AF25" s="61">
        <v>472.58</v>
      </c>
      <c r="AG25" s="60"/>
      <c r="AH25" s="62"/>
      <c r="AI25" s="62"/>
      <c r="AJ25" s="59"/>
      <c r="AK25" s="76"/>
      <c r="AL25" s="64" t="s">
        <v>42</v>
      </c>
      <c r="AM25" s="27"/>
      <c r="AN25" s="2">
        <v>20</v>
      </c>
      <c r="AO25" s="29"/>
      <c r="AP25" s="29"/>
      <c r="AQ25" s="29"/>
      <c r="AS25" s="3"/>
      <c r="AT25" s="14"/>
      <c r="AU25" s="19"/>
      <c r="AV25" s="19"/>
    </row>
    <row r="26" spans="2:50" ht="9.9499999999999993" customHeight="1" x14ac:dyDescent="0.25">
      <c r="B26" s="79"/>
      <c r="C26" s="89"/>
      <c r="D26" s="89"/>
      <c r="E26" s="56"/>
      <c r="F26" s="56"/>
      <c r="G26" s="56"/>
      <c r="H26" s="56"/>
      <c r="I26" s="56"/>
      <c r="J26" s="56"/>
      <c r="K26" s="56"/>
      <c r="L26" s="56"/>
      <c r="M26" s="56"/>
      <c r="N26" s="56"/>
      <c r="O26" s="56"/>
      <c r="P26" s="56"/>
      <c r="Q26" s="89"/>
      <c r="R26" s="2"/>
      <c r="S26" s="89"/>
      <c r="T26" s="79"/>
      <c r="U26" s="246"/>
      <c r="V26" s="227"/>
      <c r="W26" s="247"/>
      <c r="X26" s="79"/>
      <c r="Y26" s="235"/>
      <c r="Z26" s="4"/>
      <c r="AA26" s="79"/>
      <c r="AB26" s="79"/>
      <c r="AC26" s="4"/>
      <c r="AD26" s="26"/>
      <c r="AE26" s="63">
        <v>80000</v>
      </c>
      <c r="AF26" s="61">
        <v>496.1</v>
      </c>
      <c r="AG26" s="60"/>
      <c r="AH26" s="62"/>
      <c r="AI26" s="62"/>
      <c r="AJ26" s="59"/>
      <c r="AK26" s="79"/>
      <c r="AL26" s="64" t="s">
        <v>45</v>
      </c>
      <c r="AM26" s="27"/>
      <c r="AN26" s="2">
        <v>25</v>
      </c>
      <c r="AO26" s="29"/>
      <c r="AP26" s="29"/>
      <c r="AQ26" s="29"/>
      <c r="AS26" s="3"/>
      <c r="AT26" s="14"/>
      <c r="AU26" s="19"/>
      <c r="AV26" s="19"/>
    </row>
    <row r="27" spans="2:50" ht="20.100000000000001" customHeight="1" x14ac:dyDescent="0.25">
      <c r="B27" s="79"/>
      <c r="C27" s="248"/>
      <c r="D27" s="249"/>
      <c r="E27" s="250" t="s">
        <v>53</v>
      </c>
      <c r="F27" s="226"/>
      <c r="G27" s="219" t="s">
        <v>54</v>
      </c>
      <c r="H27" s="226"/>
      <c r="I27" s="219" t="s">
        <v>55</v>
      </c>
      <c r="J27" s="251"/>
      <c r="K27" s="252"/>
      <c r="L27" s="253"/>
      <c r="M27" s="254" t="s">
        <v>69</v>
      </c>
      <c r="N27" s="251"/>
      <c r="O27" s="251"/>
      <c r="P27" s="251"/>
      <c r="Q27" s="252" t="s">
        <v>3</v>
      </c>
      <c r="R27" s="2"/>
      <c r="S27" s="255"/>
      <c r="T27" s="79"/>
      <c r="U27" s="79"/>
      <c r="V27" s="79"/>
      <c r="W27" s="57"/>
      <c r="X27" s="79"/>
      <c r="Y27" s="79"/>
      <c r="Z27" s="79"/>
      <c r="AA27" s="79"/>
      <c r="AB27" s="4"/>
      <c r="AC27" s="4"/>
      <c r="AD27" s="26"/>
      <c r="AE27" s="63">
        <v>90000</v>
      </c>
      <c r="AF27" s="61">
        <v>501.8</v>
      </c>
      <c r="AG27" s="60"/>
      <c r="AH27" s="62"/>
      <c r="AI27" s="62"/>
      <c r="AJ27" s="59"/>
      <c r="AK27" s="78"/>
      <c r="AL27" s="64" t="s">
        <v>47</v>
      </c>
      <c r="AM27" s="78"/>
      <c r="AN27" s="2">
        <v>30</v>
      </c>
      <c r="AO27" s="29"/>
      <c r="AP27" s="29"/>
      <c r="AQ27" s="29"/>
      <c r="AS27" s="3"/>
      <c r="AT27" s="22"/>
      <c r="AU27" s="18"/>
      <c r="AV27" s="19"/>
    </row>
    <row r="28" spans="2:50" ht="9.9499999999999993" customHeight="1" x14ac:dyDescent="0.25">
      <c r="B28" s="79"/>
      <c r="C28" s="89"/>
      <c r="D28" s="89"/>
      <c r="E28" s="89"/>
      <c r="F28" s="56"/>
      <c r="G28" s="56"/>
      <c r="H28" s="79"/>
      <c r="I28" s="56"/>
      <c r="J28" s="79"/>
      <c r="K28" s="79"/>
      <c r="L28" s="79"/>
      <c r="M28" s="79"/>
      <c r="N28" s="79"/>
      <c r="O28" s="79"/>
      <c r="P28" s="79"/>
      <c r="Q28" s="89"/>
      <c r="R28" s="89"/>
      <c r="S28" s="89"/>
      <c r="T28" s="56"/>
      <c r="U28" s="79"/>
      <c r="V28" s="79"/>
      <c r="W28" s="56"/>
      <c r="X28" s="79"/>
      <c r="Y28" s="56"/>
      <c r="Z28" s="79"/>
      <c r="AA28" s="79"/>
      <c r="AB28" s="56"/>
      <c r="AC28" s="56"/>
      <c r="AD28" s="26"/>
      <c r="AE28" s="63">
        <v>100000</v>
      </c>
      <c r="AF28" s="61">
        <v>525.33000000000004</v>
      </c>
      <c r="AG28" s="60"/>
      <c r="AH28" s="62"/>
      <c r="AI28" s="62"/>
      <c r="AJ28" s="57"/>
      <c r="AK28" s="78"/>
      <c r="AL28" s="64" t="s">
        <v>51</v>
      </c>
      <c r="AM28" s="78"/>
      <c r="AN28" s="78"/>
      <c r="AO28" s="29"/>
      <c r="AP28" s="29"/>
      <c r="AQ28" s="29"/>
      <c r="AS28" s="3"/>
      <c r="AT28" s="22"/>
      <c r="AU28" s="18"/>
      <c r="AV28" s="19"/>
    </row>
    <row r="29" spans="2:50" ht="20.100000000000001" customHeight="1" x14ac:dyDescent="0.25">
      <c r="B29" s="79"/>
      <c r="C29" s="227"/>
      <c r="D29" s="79"/>
      <c r="E29" s="56"/>
      <c r="F29" s="79"/>
      <c r="G29" s="56"/>
      <c r="H29" s="79"/>
      <c r="I29" s="56"/>
      <c r="J29" s="79"/>
      <c r="K29" s="79"/>
      <c r="L29" s="79"/>
      <c r="M29" s="56">
        <f t="shared" ref="M29:M34" si="4">E29+G29+I29</f>
        <v>0</v>
      </c>
      <c r="N29" s="79"/>
      <c r="O29" s="79"/>
      <c r="P29" s="79"/>
      <c r="Q29" s="89" t="s">
        <v>31</v>
      </c>
      <c r="R29" s="89"/>
      <c r="S29" s="256"/>
      <c r="T29" s="79"/>
      <c r="U29" s="56">
        <f>U8+U9</f>
        <v>100000</v>
      </c>
      <c r="V29" s="79"/>
      <c r="W29" s="79"/>
      <c r="X29" s="79"/>
      <c r="Y29" s="56"/>
      <c r="Z29" s="79"/>
      <c r="AA29" s="79"/>
      <c r="AB29" s="89"/>
      <c r="AC29" s="89"/>
      <c r="AD29" s="26"/>
      <c r="AE29" s="63">
        <v>125000</v>
      </c>
      <c r="AF29" s="61">
        <v>557.97</v>
      </c>
      <c r="AG29" s="4"/>
      <c r="AH29" s="28"/>
      <c r="AI29" s="26"/>
      <c r="AJ29" s="57"/>
      <c r="AK29" s="78"/>
      <c r="AL29" s="80" t="s">
        <v>74</v>
      </c>
      <c r="AM29" s="78"/>
      <c r="AN29" s="78"/>
      <c r="AO29" s="29"/>
      <c r="AP29" s="29"/>
      <c r="AQ29" s="29"/>
      <c r="AS29" s="3"/>
      <c r="AT29" s="22"/>
      <c r="AU29" s="18"/>
      <c r="AV29" s="19"/>
    </row>
    <row r="30" spans="2:50" ht="20.100000000000001" customHeight="1" x14ac:dyDescent="0.25">
      <c r="B30" s="79"/>
      <c r="C30" s="227"/>
      <c r="D30" s="79"/>
      <c r="E30" s="56"/>
      <c r="F30" s="79"/>
      <c r="G30" s="56"/>
      <c r="H30" s="79"/>
      <c r="I30" s="56"/>
      <c r="J30" s="79"/>
      <c r="K30" s="79"/>
      <c r="L30" s="79"/>
      <c r="M30" s="56">
        <f t="shared" si="4"/>
        <v>0</v>
      </c>
      <c r="N30" s="79"/>
      <c r="O30" s="79"/>
      <c r="P30" s="79"/>
      <c r="Q30" s="89" t="s">
        <v>34</v>
      </c>
      <c r="R30" s="89"/>
      <c r="S30" s="256"/>
      <c r="T30" s="79"/>
      <c r="U30" s="76"/>
      <c r="V30" s="79"/>
      <c r="W30" s="79"/>
      <c r="X30" s="79"/>
      <c r="Y30" s="56"/>
      <c r="Z30" s="79"/>
      <c r="AA30" s="79"/>
      <c r="AB30" s="89"/>
      <c r="AC30" s="89"/>
      <c r="AD30" s="26"/>
      <c r="AE30" s="63">
        <v>150000</v>
      </c>
      <c r="AF30" s="61">
        <v>589.47</v>
      </c>
      <c r="AG30" s="4"/>
      <c r="AH30" s="28"/>
      <c r="AI30" s="26"/>
      <c r="AJ30" s="57"/>
      <c r="AK30" s="78"/>
      <c r="AL30" s="80" t="s">
        <v>75</v>
      </c>
      <c r="AM30" s="78"/>
      <c r="AN30" s="78"/>
      <c r="AO30" s="29"/>
      <c r="AP30" s="29"/>
      <c r="AQ30" s="29"/>
      <c r="AR30" s="51"/>
      <c r="AS30" s="11"/>
      <c r="AT30" s="11"/>
      <c r="AU30" s="17"/>
      <c r="AV30" s="17"/>
    </row>
    <row r="31" spans="2:50" ht="20.100000000000001" customHeight="1" x14ac:dyDescent="0.25">
      <c r="B31" s="79"/>
      <c r="C31" s="227"/>
      <c r="D31" s="79"/>
      <c r="E31" s="56"/>
      <c r="F31" s="79"/>
      <c r="G31" s="56"/>
      <c r="H31" s="79"/>
      <c r="I31" s="56"/>
      <c r="J31" s="79"/>
      <c r="K31" s="79"/>
      <c r="L31" s="79"/>
      <c r="M31" s="56">
        <f t="shared" si="4"/>
        <v>0</v>
      </c>
      <c r="N31" s="79"/>
      <c r="O31" s="79"/>
      <c r="P31" s="79"/>
      <c r="Q31" s="89" t="s">
        <v>38</v>
      </c>
      <c r="R31" s="89"/>
      <c r="S31" s="256"/>
      <c r="T31" s="79"/>
      <c r="U31" s="56">
        <f>W31*80%</f>
        <v>0</v>
      </c>
      <c r="V31" s="79"/>
      <c r="W31" s="56"/>
      <c r="X31" s="79"/>
      <c r="Y31" s="56"/>
      <c r="Z31" s="79"/>
      <c r="AA31" s="79"/>
      <c r="AB31" s="56"/>
      <c r="AC31" s="56"/>
      <c r="AD31" s="26"/>
      <c r="AE31" s="63">
        <v>175000</v>
      </c>
      <c r="AF31" s="61">
        <v>623.26</v>
      </c>
      <c r="AG31" s="4"/>
      <c r="AH31" s="28"/>
      <c r="AI31" s="26"/>
      <c r="AJ31" s="57"/>
      <c r="AK31" s="56"/>
      <c r="AL31" s="76"/>
      <c r="AM31" s="76"/>
      <c r="AN31" s="78"/>
      <c r="AO31" s="79"/>
      <c r="AP31" s="79"/>
      <c r="AQ31" s="79"/>
      <c r="AR31" s="3"/>
      <c r="AS31" s="3"/>
      <c r="AT31" s="14"/>
      <c r="AU31" s="19"/>
      <c r="AV31" s="19"/>
      <c r="AW31" s="22"/>
      <c r="AX31" s="14"/>
    </row>
    <row r="32" spans="2:50" ht="20.100000000000001" customHeight="1" x14ac:dyDescent="0.25">
      <c r="B32" s="79"/>
      <c r="C32" s="227"/>
      <c r="D32" s="79"/>
      <c r="E32" s="56"/>
      <c r="F32" s="79"/>
      <c r="G32" s="56"/>
      <c r="H32" s="79"/>
      <c r="I32" s="56"/>
      <c r="J32" s="79"/>
      <c r="K32" s="79"/>
      <c r="L32" s="79"/>
      <c r="M32" s="56">
        <f t="shared" si="4"/>
        <v>0</v>
      </c>
      <c r="N32" s="79"/>
      <c r="O32" s="79"/>
      <c r="P32" s="79"/>
      <c r="Q32" s="89" t="s">
        <v>43</v>
      </c>
      <c r="R32" s="89"/>
      <c r="S32" s="256"/>
      <c r="T32" s="79"/>
      <c r="U32" s="56">
        <f>U31+U30+U29+AA8+Y25</f>
        <v>100000</v>
      </c>
      <c r="V32" s="79"/>
      <c r="W32" s="79"/>
      <c r="X32" s="79"/>
      <c r="Y32" s="56"/>
      <c r="Z32" s="79"/>
      <c r="AA32" s="79"/>
      <c r="AB32" s="56"/>
      <c r="AC32" s="56"/>
      <c r="AD32" s="26"/>
      <c r="AE32" s="63">
        <v>200000</v>
      </c>
      <c r="AF32" s="61">
        <v>654.66999999999996</v>
      </c>
      <c r="AG32" s="4"/>
      <c r="AH32" s="28"/>
      <c r="AI32" s="26"/>
      <c r="AJ32" s="57"/>
      <c r="AK32" s="29"/>
      <c r="AL32" s="29"/>
      <c r="AM32" s="29"/>
      <c r="AN32" s="29"/>
      <c r="AO32" s="29"/>
      <c r="AP32" s="29"/>
      <c r="AQ32" s="29"/>
      <c r="AR32" s="18"/>
      <c r="AS32" s="23"/>
      <c r="AT32" s="20"/>
      <c r="AU32" s="20"/>
      <c r="AV32" s="19"/>
    </row>
    <row r="33" spans="1:48" ht="20.100000000000001" customHeight="1" x14ac:dyDescent="0.25">
      <c r="B33" s="79"/>
      <c r="C33" s="227"/>
      <c r="D33" s="79"/>
      <c r="E33" s="56"/>
      <c r="F33" s="79"/>
      <c r="G33" s="56"/>
      <c r="H33" s="79"/>
      <c r="I33" s="56"/>
      <c r="J33" s="79"/>
      <c r="K33" s="79"/>
      <c r="L33" s="79"/>
      <c r="M33" s="56">
        <f t="shared" si="4"/>
        <v>0</v>
      </c>
      <c r="N33" s="79"/>
      <c r="O33" s="79"/>
      <c r="P33" s="79"/>
      <c r="Q33" s="89"/>
      <c r="R33" s="89"/>
      <c r="S33" s="256"/>
      <c r="T33" s="79"/>
      <c r="U33" s="79"/>
      <c r="V33" s="79"/>
      <c r="W33" s="79"/>
      <c r="X33" s="79"/>
      <c r="Y33" s="56"/>
      <c r="Z33" s="79"/>
      <c r="AA33" s="79"/>
      <c r="AB33" s="56"/>
      <c r="AC33" s="56"/>
      <c r="AD33" s="26"/>
      <c r="AE33" s="63">
        <v>250000</v>
      </c>
      <c r="AF33" s="61">
        <v>697.66</v>
      </c>
      <c r="AG33" s="4"/>
      <c r="AH33" s="28"/>
      <c r="AI33" s="26"/>
      <c r="AJ33" s="57"/>
      <c r="AK33" s="30"/>
      <c r="AL33" s="26"/>
      <c r="AM33" s="58"/>
      <c r="AN33" s="29"/>
      <c r="AO33" s="29"/>
      <c r="AP33" s="29"/>
      <c r="AQ33" s="29"/>
      <c r="AR33" s="16"/>
      <c r="AS33" s="23"/>
      <c r="AT33" s="20"/>
      <c r="AU33" s="20"/>
      <c r="AV33" s="19"/>
    </row>
    <row r="34" spans="1:48" ht="20.100000000000001" customHeight="1" x14ac:dyDescent="0.25">
      <c r="B34" s="79"/>
      <c r="C34" s="227"/>
      <c r="D34" s="79"/>
      <c r="E34" s="56"/>
      <c r="F34" s="79"/>
      <c r="G34" s="56"/>
      <c r="H34" s="79"/>
      <c r="I34" s="56"/>
      <c r="J34" s="79"/>
      <c r="K34" s="79"/>
      <c r="L34" s="79"/>
      <c r="M34" s="56">
        <f t="shared" si="4"/>
        <v>0</v>
      </c>
      <c r="N34" s="79"/>
      <c r="O34" s="79"/>
      <c r="P34" s="79"/>
      <c r="Q34" s="89" t="s">
        <v>48</v>
      </c>
      <c r="R34" s="89"/>
      <c r="S34" s="256"/>
      <c r="T34" s="79"/>
      <c r="U34" s="257"/>
      <c r="V34" s="79"/>
      <c r="W34" s="79"/>
      <c r="X34" s="79"/>
      <c r="Y34" s="56"/>
      <c r="Z34" s="79"/>
      <c r="AA34" s="79"/>
      <c r="AB34" s="56"/>
      <c r="AC34" s="56"/>
      <c r="AD34" s="26"/>
      <c r="AE34" s="63">
        <v>500000</v>
      </c>
      <c r="AF34" s="61">
        <v>952.92</v>
      </c>
      <c r="AG34" s="4"/>
      <c r="AH34" s="28"/>
      <c r="AI34" s="26"/>
      <c r="AJ34" s="57"/>
      <c r="AK34" s="29"/>
      <c r="AL34" s="29"/>
      <c r="AM34" s="29"/>
      <c r="AN34" s="29"/>
      <c r="AO34" s="29"/>
      <c r="AP34" s="29"/>
      <c r="AQ34" s="29"/>
      <c r="AR34" s="19"/>
      <c r="AS34" s="1"/>
      <c r="AT34" s="19"/>
      <c r="AU34" s="19"/>
      <c r="AV34" s="19"/>
    </row>
    <row r="35" spans="1:48" ht="20.100000000000001" customHeight="1" x14ac:dyDescent="0.25">
      <c r="B35" s="79"/>
      <c r="C35" s="227"/>
      <c r="D35" s="79"/>
      <c r="E35" s="56"/>
      <c r="F35" s="79"/>
      <c r="G35" s="56"/>
      <c r="H35" s="79"/>
      <c r="I35" s="56"/>
      <c r="J35" s="79"/>
      <c r="K35" s="79"/>
      <c r="L35" s="79"/>
      <c r="M35" s="56">
        <f>MIN(COUNTA(E35:G35:I35)*80,E35+G35+I35)</f>
        <v>0</v>
      </c>
      <c r="N35" s="79"/>
      <c r="O35" s="79"/>
      <c r="P35" s="79"/>
      <c r="Q35" s="89"/>
      <c r="R35" s="89"/>
      <c r="S35" s="256"/>
      <c r="T35" s="79"/>
      <c r="U35" s="79"/>
      <c r="V35" s="79"/>
      <c r="W35" s="79"/>
      <c r="X35" s="79"/>
      <c r="Y35" s="56"/>
      <c r="Z35" s="79"/>
      <c r="AA35" s="79"/>
      <c r="AB35" s="81"/>
      <c r="AC35" s="81"/>
      <c r="AD35" s="76"/>
      <c r="AE35" s="76"/>
      <c r="AF35" s="76"/>
      <c r="AG35" s="4"/>
      <c r="AH35" s="28"/>
      <c r="AI35" s="26"/>
      <c r="AJ35" s="57"/>
      <c r="AK35" s="29"/>
      <c r="AL35" s="27"/>
      <c r="AM35" s="27"/>
      <c r="AN35" s="29"/>
      <c r="AO35" s="29"/>
      <c r="AP35" s="29"/>
      <c r="AQ35" s="29"/>
      <c r="AR35" s="21"/>
      <c r="AS35" s="1"/>
      <c r="AT35" s="18"/>
      <c r="AU35" s="18"/>
      <c r="AV35" s="19"/>
    </row>
    <row r="36" spans="1:48" ht="20.100000000000001" customHeight="1" x14ac:dyDescent="0.25">
      <c r="B36" s="79"/>
      <c r="C36" s="227"/>
      <c r="D36" s="79"/>
      <c r="E36" s="56"/>
      <c r="F36" s="79"/>
      <c r="G36" s="56"/>
      <c r="H36" s="79"/>
      <c r="I36" s="56"/>
      <c r="J36" s="79"/>
      <c r="K36" s="79"/>
      <c r="L36" s="79"/>
      <c r="M36" s="56">
        <f t="shared" ref="M36:M38" si="5">(E36+G36+I36)*80%</f>
        <v>0</v>
      </c>
      <c r="N36" s="79"/>
      <c r="O36" s="79"/>
      <c r="P36" s="79"/>
      <c r="Q36" s="2" t="s">
        <v>66</v>
      </c>
      <c r="R36" s="89"/>
      <c r="S36" s="256"/>
      <c r="T36" s="79"/>
      <c r="U36" s="79"/>
      <c r="V36" s="79"/>
      <c r="W36" s="79"/>
      <c r="X36" s="79"/>
      <c r="Y36" s="56"/>
      <c r="Z36" s="79"/>
      <c r="AA36" s="79"/>
      <c r="AB36" s="56"/>
      <c r="AC36" s="56"/>
      <c r="AD36" s="26"/>
      <c r="AE36" s="26"/>
      <c r="AF36" s="4"/>
      <c r="AG36" s="4"/>
      <c r="AH36" s="28"/>
      <c r="AI36" s="26"/>
      <c r="AJ36" s="57"/>
      <c r="AK36" s="4"/>
      <c r="AL36" s="27"/>
      <c r="AM36" s="27"/>
      <c r="AN36" s="29"/>
      <c r="AO36" s="29"/>
      <c r="AP36" s="29"/>
      <c r="AQ36" s="29"/>
      <c r="AR36" s="9"/>
      <c r="AS36" s="9"/>
      <c r="AT36" s="9"/>
      <c r="AU36" s="9"/>
    </row>
    <row r="37" spans="1:48" ht="20.100000000000001" customHeight="1" x14ac:dyDescent="0.25">
      <c r="B37" s="79"/>
      <c r="C37" s="227"/>
      <c r="D37" s="79"/>
      <c r="E37" s="56"/>
      <c r="F37" s="79"/>
      <c r="G37" s="56"/>
      <c r="H37" s="79"/>
      <c r="I37" s="56"/>
      <c r="J37" s="79"/>
      <c r="K37" s="79"/>
      <c r="L37" s="79"/>
      <c r="M37" s="56">
        <f t="shared" si="5"/>
        <v>0</v>
      </c>
      <c r="N37" s="79"/>
      <c r="O37" s="79"/>
      <c r="P37" s="79"/>
      <c r="Q37" s="2" t="s">
        <v>67</v>
      </c>
      <c r="R37" s="89"/>
      <c r="S37" s="256"/>
      <c r="T37" s="79"/>
      <c r="U37" s="79"/>
      <c r="V37" s="79"/>
      <c r="W37" s="79"/>
      <c r="X37" s="79"/>
      <c r="Y37" s="56"/>
      <c r="Z37" s="79"/>
      <c r="AA37" s="79"/>
      <c r="AB37" s="56"/>
      <c r="AC37" s="56"/>
      <c r="AD37" s="26"/>
      <c r="AE37" s="65" t="s">
        <v>61</v>
      </c>
      <c r="AF37" s="66"/>
      <c r="AG37" s="66"/>
      <c r="AH37" s="67"/>
      <c r="AI37" s="67"/>
      <c r="AJ37" s="57"/>
      <c r="AK37" s="56"/>
      <c r="AL37" s="27"/>
      <c r="AM37" s="27"/>
      <c r="AN37" s="29"/>
      <c r="AO37" s="29"/>
      <c r="AP37" s="29"/>
      <c r="AQ37" s="29"/>
      <c r="AR37" s="9"/>
      <c r="AS37" s="9"/>
      <c r="AT37" s="9"/>
      <c r="AU37" s="9"/>
    </row>
    <row r="38" spans="1:48" ht="20.100000000000001" customHeight="1" x14ac:dyDescent="0.25">
      <c r="B38" s="79"/>
      <c r="C38" s="227"/>
      <c r="D38" s="79"/>
      <c r="E38" s="56"/>
      <c r="F38" s="79"/>
      <c r="G38" s="56"/>
      <c r="H38" s="79"/>
      <c r="I38" s="56"/>
      <c r="J38" s="79"/>
      <c r="K38" s="79"/>
      <c r="L38" s="79"/>
      <c r="M38" s="56">
        <f t="shared" si="5"/>
        <v>0</v>
      </c>
      <c r="N38" s="79"/>
      <c r="O38" s="79"/>
      <c r="P38" s="79"/>
      <c r="Q38" s="2"/>
      <c r="R38" s="89"/>
      <c r="S38" s="256"/>
      <c r="T38" s="79"/>
      <c r="U38" s="79"/>
      <c r="V38" s="79"/>
      <c r="W38" s="79"/>
      <c r="X38" s="79"/>
      <c r="Y38" s="56"/>
      <c r="Z38" s="79"/>
      <c r="AA38" s="79"/>
      <c r="AB38" s="56"/>
      <c r="AC38" s="56"/>
      <c r="AD38" s="26"/>
      <c r="AE38" s="65" t="s">
        <v>65</v>
      </c>
      <c r="AF38" s="68" t="s">
        <v>62</v>
      </c>
      <c r="AG38" s="69"/>
      <c r="AH38" s="67"/>
      <c r="AI38" s="67"/>
      <c r="AJ38" s="57"/>
      <c r="AK38" s="25"/>
      <c r="AL38" s="27"/>
      <c r="AM38" s="27"/>
      <c r="AN38" s="29"/>
      <c r="AO38" s="29"/>
      <c r="AP38" s="29"/>
      <c r="AQ38" s="29"/>
      <c r="AR38" s="9"/>
      <c r="AS38" s="9"/>
      <c r="AT38" s="9"/>
      <c r="AU38" s="9"/>
    </row>
    <row r="39" spans="1:48" ht="20.100000000000001" customHeight="1" x14ac:dyDescent="0.25">
      <c r="B39" s="79"/>
      <c r="C39" s="227"/>
      <c r="D39" s="79"/>
      <c r="E39" s="56"/>
      <c r="F39" s="79"/>
      <c r="G39" s="56"/>
      <c r="H39" s="79"/>
      <c r="I39" s="56"/>
      <c r="J39" s="79"/>
      <c r="K39" s="56"/>
      <c r="L39" s="56"/>
      <c r="M39" s="56"/>
      <c r="N39" s="56"/>
      <c r="O39" s="56"/>
      <c r="P39" s="56"/>
      <c r="Q39" s="2" t="s">
        <v>70</v>
      </c>
      <c r="R39" s="89"/>
      <c r="S39" s="256"/>
      <c r="T39" s="56"/>
      <c r="U39" s="79"/>
      <c r="V39" s="56"/>
      <c r="W39" s="79"/>
      <c r="X39" s="56"/>
      <c r="Y39" s="56"/>
      <c r="Z39" s="79"/>
      <c r="AA39" s="79"/>
      <c r="AB39" s="56"/>
      <c r="AC39" s="56"/>
      <c r="AD39" s="26"/>
      <c r="AE39" s="65" t="s">
        <v>63</v>
      </c>
      <c r="AF39" s="68" t="s">
        <v>64</v>
      </c>
      <c r="AG39" s="66"/>
      <c r="AH39" s="67"/>
      <c r="AI39" s="67"/>
      <c r="AJ39" s="57"/>
      <c r="AK39" s="56"/>
      <c r="AL39" s="5"/>
      <c r="AM39" s="5"/>
      <c r="AN39" s="29"/>
      <c r="AO39" s="29"/>
      <c r="AP39" s="29"/>
      <c r="AQ39" s="29"/>
      <c r="AR39" s="9"/>
      <c r="AS39" s="9"/>
      <c r="AT39" s="9"/>
      <c r="AU39" s="9"/>
    </row>
    <row r="40" spans="1:48" ht="20.100000000000001" customHeight="1" x14ac:dyDescent="0.25">
      <c r="B40" s="79"/>
      <c r="C40" s="227"/>
      <c r="D40" s="79"/>
      <c r="E40" s="56"/>
      <c r="F40" s="79"/>
      <c r="G40" s="56"/>
      <c r="H40" s="79"/>
      <c r="I40" s="56"/>
      <c r="J40" s="79"/>
      <c r="K40" s="79"/>
      <c r="L40" s="56"/>
      <c r="M40" s="56"/>
      <c r="N40" s="56"/>
      <c r="O40" s="79"/>
      <c r="P40" s="79"/>
      <c r="Q40" s="2" t="s">
        <v>71</v>
      </c>
      <c r="R40" s="76"/>
      <c r="S40" s="56"/>
      <c r="T40" s="76"/>
      <c r="U40" s="79"/>
      <c r="V40" s="76"/>
      <c r="W40" s="79"/>
      <c r="X40" s="76"/>
      <c r="Y40" s="56"/>
      <c r="Z40" s="79"/>
      <c r="AA40" s="79"/>
      <c r="AB40" s="56"/>
      <c r="AC40" s="56"/>
      <c r="AD40" s="26"/>
      <c r="AE40" s="50"/>
      <c r="AF40" s="66"/>
      <c r="AG40" s="66"/>
      <c r="AH40" s="67"/>
      <c r="AI40" s="67"/>
      <c r="AJ40" s="57"/>
      <c r="AK40" s="30"/>
      <c r="AL40" s="26"/>
      <c r="AM40" s="58"/>
      <c r="AN40" s="29"/>
      <c r="AO40" s="29"/>
      <c r="AP40" s="29"/>
      <c r="AQ40" s="29"/>
      <c r="AR40" s="9"/>
      <c r="AS40" s="9"/>
      <c r="AT40" s="9"/>
      <c r="AU40" s="9"/>
    </row>
    <row r="41" spans="1:48" s="79" customFormat="1" ht="20.100000000000001" customHeight="1" x14ac:dyDescent="0.25">
      <c r="C41" s="227"/>
      <c r="E41" s="56"/>
      <c r="G41" s="56"/>
      <c r="I41" s="56"/>
      <c r="L41" s="56"/>
      <c r="M41" s="56"/>
      <c r="N41" s="56"/>
      <c r="Q41" s="89"/>
      <c r="R41" s="76"/>
      <c r="S41" s="56"/>
      <c r="T41" s="76"/>
      <c r="V41" s="76"/>
      <c r="X41" s="76"/>
      <c r="Y41" s="76"/>
      <c r="AB41" s="56"/>
      <c r="AC41" s="56"/>
      <c r="AD41" s="76"/>
      <c r="AE41" s="269" t="s">
        <v>68</v>
      </c>
      <c r="AF41" s="270"/>
      <c r="AG41" s="270"/>
      <c r="AJ41" s="57"/>
    </row>
    <row r="42" spans="1:48" s="79" customFormat="1" ht="20.100000000000001" customHeight="1" x14ac:dyDescent="0.25">
      <c r="C42" s="227"/>
      <c r="E42" s="56"/>
      <c r="G42" s="56"/>
      <c r="I42" s="56"/>
      <c r="L42" s="56"/>
      <c r="M42" s="56"/>
      <c r="N42" s="256"/>
      <c r="Q42" s="89"/>
      <c r="R42" s="76"/>
      <c r="S42" s="56"/>
      <c r="T42" s="76"/>
      <c r="V42" s="76"/>
      <c r="X42" s="76"/>
      <c r="Y42" s="56"/>
      <c r="AB42" s="56"/>
      <c r="AC42" s="56"/>
      <c r="AD42" s="76"/>
      <c r="AE42" s="271">
        <v>100000</v>
      </c>
      <c r="AF42" s="270"/>
      <c r="AG42" s="270"/>
      <c r="AJ42" s="57"/>
      <c r="AL42" s="78"/>
      <c r="AM42" s="78"/>
    </row>
    <row r="43" spans="1:48" s="79" customFormat="1" ht="20.100000000000001" customHeight="1" x14ac:dyDescent="0.25">
      <c r="B43" s="67"/>
      <c r="C43" s="323"/>
      <c r="E43" s="272">
        <f>SUM(E29:E35,E36:E38)-E39-E40-E41-E42</f>
        <v>0</v>
      </c>
      <c r="F43" s="272">
        <f>SUM(F29:F35,F36:F38)-F39-F40-F41-F42</f>
        <v>0</v>
      </c>
      <c r="G43" s="272">
        <f>SUM(G29:G35,G36:G38)-G39-G40-G41-G42</f>
        <v>0</v>
      </c>
      <c r="H43" s="272">
        <f>SUM(H29:H35,H36:H38)-H39-H40-H41-H42</f>
        <v>0</v>
      </c>
      <c r="I43" s="272">
        <f>SUM(I29:I35,I36:I38)-I39-I40-I41-I42</f>
        <v>0</v>
      </c>
      <c r="J43" s="56"/>
      <c r="L43" s="56"/>
      <c r="M43" s="235">
        <f>(E43+G43+I43)</f>
        <v>0</v>
      </c>
      <c r="N43" s="89"/>
      <c r="Q43" s="252"/>
      <c r="R43" s="76"/>
      <c r="S43" s="56"/>
      <c r="T43" s="56"/>
      <c r="U43" s="56"/>
      <c r="V43" s="56"/>
      <c r="X43" s="56"/>
      <c r="Y43" s="56"/>
      <c r="AB43" s="56"/>
      <c r="AC43" s="56"/>
      <c r="AD43" s="76"/>
      <c r="AE43" s="76"/>
      <c r="AF43" s="4"/>
      <c r="AG43" s="4"/>
      <c r="AH43" s="28"/>
      <c r="AI43" s="76"/>
      <c r="AJ43" s="57"/>
      <c r="AK43" s="4"/>
      <c r="AL43" s="78"/>
      <c r="AM43" s="78"/>
    </row>
    <row r="44" spans="1:48" ht="20.100000000000001" customHeight="1" x14ac:dyDescent="0.25">
      <c r="A44" s="12"/>
      <c r="B44" s="87"/>
      <c r="C44" s="87"/>
      <c r="D44" s="35"/>
      <c r="E44" s="40"/>
      <c r="F44" s="38"/>
      <c r="G44" s="42"/>
      <c r="H44" s="35"/>
      <c r="I44" s="40"/>
      <c r="J44" s="38"/>
      <c r="K44" s="35"/>
      <c r="L44" s="38"/>
      <c r="M44" s="35"/>
      <c r="N44" s="38"/>
      <c r="O44" s="35"/>
      <c r="P44" s="35"/>
      <c r="Q44" s="85"/>
      <c r="R44" s="72"/>
      <c r="S44" s="35"/>
      <c r="T44" s="35"/>
      <c r="U44" s="35"/>
      <c r="V44" s="87"/>
      <c r="W44" s="87"/>
      <c r="X44" s="87"/>
      <c r="Y44" s="87"/>
      <c r="Z44" s="87"/>
      <c r="AA44" s="87"/>
      <c r="AB44" s="303"/>
      <c r="AC44" s="303"/>
      <c r="AD44" s="76"/>
      <c r="AE44" s="26"/>
      <c r="AF44" s="4"/>
      <c r="AG44" s="4"/>
      <c r="AH44" s="28"/>
      <c r="AI44" s="26"/>
      <c r="AJ44" s="57"/>
      <c r="AK44" s="56"/>
      <c r="AL44" s="27"/>
      <c r="AM44" s="27"/>
      <c r="AN44" s="29"/>
      <c r="AO44" s="29"/>
      <c r="AP44" s="29"/>
      <c r="AQ44" s="29"/>
      <c r="AR44" s="9"/>
      <c r="AS44" s="9"/>
      <c r="AT44" s="9"/>
      <c r="AU44" s="9"/>
    </row>
    <row r="45" spans="1:48" ht="20.100000000000001" customHeight="1" x14ac:dyDescent="0.25">
      <c r="A45" s="12"/>
      <c r="B45" s="87"/>
      <c r="C45" s="324"/>
      <c r="D45" s="35"/>
      <c r="E45" s="340">
        <f>U8+Y25+U13</f>
        <v>100000</v>
      </c>
      <c r="F45" s="341"/>
      <c r="G45" s="341">
        <f>U8+Y25+U13</f>
        <v>100000</v>
      </c>
      <c r="H45" s="341"/>
      <c r="I45" s="341">
        <f>U8+Y25+U13</f>
        <v>100000</v>
      </c>
      <c r="J45" s="341"/>
      <c r="K45" s="341">
        <f>U8+Y25+U13</f>
        <v>100000</v>
      </c>
      <c r="L45" s="341"/>
      <c r="M45" s="341">
        <f>U8+Y25+U13</f>
        <v>100000</v>
      </c>
      <c r="N45" s="342"/>
      <c r="O45" s="340">
        <f>U8+Y25+U13</f>
        <v>100000</v>
      </c>
      <c r="P45" s="341"/>
      <c r="Q45" s="340">
        <f>U8+Y25+U13</f>
        <v>100000</v>
      </c>
      <c r="R45" s="341"/>
      <c r="S45" s="340">
        <f>U8+Y25+U13</f>
        <v>100000</v>
      </c>
      <c r="T45" s="35"/>
      <c r="U45" s="35"/>
      <c r="V45" s="87"/>
      <c r="W45" s="87"/>
      <c r="X45" s="87"/>
      <c r="Y45" s="87"/>
      <c r="Z45" s="87"/>
      <c r="AA45" s="87"/>
      <c r="AB45" s="303"/>
      <c r="AC45" s="303"/>
      <c r="AD45" s="76"/>
      <c r="AE45" s="26"/>
      <c r="AF45" s="4"/>
      <c r="AG45" s="4"/>
      <c r="AH45" s="28"/>
      <c r="AI45" s="26"/>
      <c r="AJ45" s="57"/>
      <c r="AK45" s="25"/>
      <c r="AL45" s="27"/>
      <c r="AM45" s="27"/>
      <c r="AN45" s="29"/>
      <c r="AO45" s="29"/>
      <c r="AP45" s="29"/>
      <c r="AQ45" s="29"/>
      <c r="AR45" s="9"/>
      <c r="AS45" s="9"/>
      <c r="AT45" s="9"/>
      <c r="AU45" s="9"/>
    </row>
    <row r="46" spans="1:48" ht="20.100000000000001" customHeight="1" x14ac:dyDescent="0.25">
      <c r="A46" s="12"/>
      <c r="B46" s="87"/>
      <c r="C46" s="87"/>
      <c r="D46" s="35"/>
      <c r="E46" s="40"/>
      <c r="F46" s="38"/>
      <c r="G46" s="42"/>
      <c r="H46" s="35"/>
      <c r="I46" s="40"/>
      <c r="J46" s="38"/>
      <c r="K46" s="35"/>
      <c r="L46" s="38"/>
      <c r="M46" s="35"/>
      <c r="N46" s="38"/>
      <c r="O46" s="35"/>
      <c r="P46" s="35"/>
      <c r="Q46" s="35"/>
      <c r="R46" s="35"/>
      <c r="S46" s="35"/>
      <c r="T46" s="35"/>
      <c r="U46" s="35"/>
      <c r="V46" s="87"/>
      <c r="W46" s="87"/>
      <c r="X46" s="87"/>
      <c r="Y46" s="87"/>
      <c r="Z46" s="87"/>
      <c r="AA46" s="87"/>
      <c r="AB46" s="87"/>
      <c r="AC46" s="303"/>
      <c r="AD46" s="63"/>
      <c r="AE46" s="61"/>
      <c r="AF46" s="4"/>
      <c r="AG46" s="4"/>
      <c r="AH46" s="28"/>
      <c r="AI46" s="26"/>
      <c r="AJ46" s="57"/>
      <c r="AK46" s="29"/>
      <c r="AL46" s="29"/>
      <c r="AM46" s="29"/>
      <c r="AN46" s="29"/>
      <c r="AO46" s="29"/>
      <c r="AP46" s="29"/>
      <c r="AQ46" s="29"/>
      <c r="AR46" s="9"/>
      <c r="AS46" s="9"/>
      <c r="AT46" s="9"/>
      <c r="AU46" s="9"/>
    </row>
    <row r="47" spans="1:48" ht="25.5" customHeight="1" x14ac:dyDescent="0.25">
      <c r="A47" s="12"/>
      <c r="B47" s="87"/>
      <c r="C47" s="325"/>
      <c r="D47" s="35"/>
      <c r="E47" s="281" t="s">
        <v>59</v>
      </c>
      <c r="F47" s="282"/>
      <c r="G47" s="281" t="s">
        <v>73</v>
      </c>
      <c r="H47" s="179"/>
      <c r="I47" s="279" t="s">
        <v>58</v>
      </c>
      <c r="J47" s="280"/>
      <c r="K47" s="279" t="s">
        <v>45</v>
      </c>
      <c r="L47" s="70"/>
      <c r="M47" s="276" t="s">
        <v>47</v>
      </c>
      <c r="N47" s="277"/>
      <c r="O47" s="278" t="s">
        <v>51</v>
      </c>
      <c r="P47" s="178"/>
      <c r="Q47" s="273" t="s">
        <v>74</v>
      </c>
      <c r="R47" s="274"/>
      <c r="S47" s="275" t="s">
        <v>75</v>
      </c>
      <c r="T47" s="35"/>
      <c r="U47" s="35"/>
      <c r="V47" s="87"/>
      <c r="W47" s="87"/>
      <c r="X47" s="87"/>
      <c r="Y47" s="87"/>
      <c r="Z47" s="87"/>
      <c r="AA47" s="87"/>
      <c r="AB47" s="87"/>
      <c r="AC47" s="94"/>
      <c r="AD47" s="25"/>
      <c r="AE47" s="26"/>
      <c r="AF47" s="4"/>
      <c r="AG47" s="4"/>
      <c r="AH47" s="28"/>
      <c r="AI47" s="26"/>
      <c r="AJ47" s="26"/>
      <c r="AK47" s="29"/>
      <c r="AL47" s="29"/>
      <c r="AM47" s="29"/>
      <c r="AN47" s="29"/>
      <c r="AO47" s="29"/>
      <c r="AP47" s="29"/>
      <c r="AQ47" s="29"/>
      <c r="AR47" s="9"/>
      <c r="AS47" s="9"/>
      <c r="AT47" s="9"/>
      <c r="AU47" s="9"/>
    </row>
    <row r="48" spans="1:48" ht="20.100000000000001" hidden="1" customHeight="1" x14ac:dyDescent="0.25">
      <c r="A48" s="12"/>
      <c r="B48" s="87"/>
      <c r="C48" s="326"/>
      <c r="D48" s="35"/>
      <c r="E48" s="160">
        <f>IF($E$45=0,"",12.5%)</f>
        <v>0.125</v>
      </c>
      <c r="F48" s="44"/>
      <c r="G48" s="135">
        <f>IF($U$11+$Y$25=0,"",12.5%)</f>
        <v>0.125</v>
      </c>
      <c r="H48" s="72"/>
      <c r="I48" s="137">
        <f>IF($U$11+$Y$25=0,"",12.5%)</f>
        <v>0.125</v>
      </c>
      <c r="J48" s="44"/>
      <c r="K48" s="149">
        <f>IF($U$11+$Y$25=0,"",6%)</f>
        <v>0.06</v>
      </c>
      <c r="L48" s="72"/>
      <c r="M48" s="183">
        <f>IF($U$11+$Y$25=0,"",10%)</f>
        <v>0.1</v>
      </c>
      <c r="N48" s="35"/>
      <c r="O48" s="136">
        <f>IF($U$11+$Y$25=0,"",5%)</f>
        <v>0.05</v>
      </c>
      <c r="P48" s="44"/>
      <c r="Q48" s="162">
        <f>IF($U$11+$Y$25=0,"",10%)</f>
        <v>0.1</v>
      </c>
      <c r="R48" s="72"/>
      <c r="S48" s="161">
        <f>IF($U$11+$Y$25=0,"",5%)</f>
        <v>0.05</v>
      </c>
      <c r="T48" s="35"/>
      <c r="U48" s="35"/>
      <c r="V48" s="87"/>
      <c r="W48" s="87"/>
      <c r="X48" s="87"/>
      <c r="Y48" s="87"/>
      <c r="Z48" s="87"/>
      <c r="AA48" s="87"/>
      <c r="AB48" s="87"/>
      <c r="AC48" s="94"/>
      <c r="AD48" s="25"/>
      <c r="AE48" s="26"/>
      <c r="AF48" s="4"/>
      <c r="AG48" s="4"/>
      <c r="AH48" s="28"/>
      <c r="AI48" s="26"/>
      <c r="AJ48" s="26"/>
      <c r="AK48" s="29"/>
      <c r="AL48" s="29"/>
      <c r="AM48" s="29"/>
      <c r="AN48" s="29"/>
      <c r="AO48" s="29"/>
      <c r="AP48" s="29"/>
      <c r="AQ48" s="29"/>
      <c r="AR48" s="9"/>
      <c r="AS48" s="9"/>
      <c r="AT48" s="9"/>
      <c r="AU48" s="9"/>
    </row>
    <row r="49" spans="1:47" ht="20.100000000000001" hidden="1" customHeight="1" x14ac:dyDescent="0.25">
      <c r="A49" s="12"/>
      <c r="B49" s="87"/>
      <c r="C49" s="327"/>
      <c r="D49" s="35"/>
      <c r="E49" s="180">
        <f>IF($U$11+$Y$25=0,"",60000)</f>
        <v>60000</v>
      </c>
      <c r="F49" s="44"/>
      <c r="G49" s="115"/>
      <c r="H49" s="72"/>
      <c r="I49" s="138"/>
      <c r="J49" s="44"/>
      <c r="K49" s="153"/>
      <c r="L49" s="72"/>
      <c r="M49" s="184">
        <f>IF($U$11+$Y$25=0,"",15000)</f>
        <v>15000</v>
      </c>
      <c r="N49" s="35"/>
      <c r="O49" s="173">
        <f>IF($U$11+$Y$25=0,"",15000)</f>
        <v>15000</v>
      </c>
      <c r="P49" s="44"/>
      <c r="Q49" s="163"/>
      <c r="R49" s="72"/>
      <c r="S49" s="116"/>
      <c r="T49" s="35"/>
      <c r="U49" s="35"/>
      <c r="V49" s="87"/>
      <c r="W49" s="87"/>
      <c r="X49" s="87"/>
      <c r="Y49" s="87"/>
      <c r="Z49" s="87"/>
      <c r="AA49" s="87"/>
      <c r="AB49" s="87"/>
      <c r="AC49" s="94"/>
      <c r="AD49" s="25"/>
      <c r="AE49" s="26"/>
      <c r="AF49" s="26"/>
      <c r="AG49" s="26"/>
      <c r="AH49" s="26"/>
      <c r="AI49" s="26"/>
      <c r="AJ49" s="26"/>
      <c r="AK49" s="29"/>
      <c r="AL49" s="29"/>
      <c r="AM49" s="29"/>
      <c r="AN49" s="29"/>
      <c r="AO49" s="29"/>
      <c r="AP49" s="29"/>
      <c r="AQ49" s="29"/>
      <c r="AR49" s="9"/>
      <c r="AS49" s="9"/>
      <c r="AT49" s="9"/>
      <c r="AU49" s="9"/>
    </row>
    <row r="50" spans="1:47" ht="20.100000000000001" hidden="1" customHeight="1" x14ac:dyDescent="0.25">
      <c r="A50" s="12"/>
      <c r="B50" s="87"/>
      <c r="C50" s="328"/>
      <c r="D50" s="35"/>
      <c r="E50" s="126">
        <f>IF(U8&gt;=60000,(U8-60000)*12.5%,0)</f>
        <v>5000</v>
      </c>
      <c r="F50" s="40"/>
      <c r="G50" s="96">
        <f>SUM(U8*12.5%)</f>
        <v>12500</v>
      </c>
      <c r="H50" s="38"/>
      <c r="I50" s="139">
        <f>SUM(U8*12.5%)</f>
        <v>12500</v>
      </c>
      <c r="J50" s="54"/>
      <c r="K50" s="150">
        <f>SUM(U8*6%)</f>
        <v>6000</v>
      </c>
      <c r="L50" s="38"/>
      <c r="M50" s="185">
        <f>IF(U8&gt;15000,(U8-15000)*10%,0)</f>
        <v>8500</v>
      </c>
      <c r="N50" s="40">
        <f>IF(V8&gt;15000,(V8-15000)*10%,0)</f>
        <v>0</v>
      </c>
      <c r="O50" s="106">
        <f>IF(U8&gt;15000,(U8-15000)*5%,0)</f>
        <v>4250</v>
      </c>
      <c r="P50" s="40"/>
      <c r="Q50" s="164">
        <f>SUM(U8*10%)</f>
        <v>10000</v>
      </c>
      <c r="R50" s="55"/>
      <c r="S50" s="117">
        <f>SUM(U8*5%)</f>
        <v>5000</v>
      </c>
      <c r="T50" s="34"/>
      <c r="U50" s="35"/>
      <c r="V50" s="87"/>
      <c r="W50" s="87"/>
      <c r="X50" s="87"/>
      <c r="Y50" s="87"/>
      <c r="Z50" s="87"/>
      <c r="AA50" s="87"/>
      <c r="AB50" s="87"/>
      <c r="AC50" s="94"/>
      <c r="AD50" s="25"/>
      <c r="AE50" s="26"/>
      <c r="AF50" s="26"/>
      <c r="AG50" s="26"/>
      <c r="AH50" s="26"/>
      <c r="AI50" s="26"/>
      <c r="AJ50" s="26"/>
      <c r="AK50" s="29"/>
      <c r="AL50" s="29"/>
      <c r="AM50" s="29"/>
      <c r="AN50" s="29"/>
      <c r="AO50" s="29"/>
      <c r="AP50" s="29"/>
      <c r="AQ50" s="29"/>
      <c r="AR50" s="9"/>
      <c r="AS50" s="9"/>
      <c r="AT50" s="9"/>
      <c r="AU50" s="9"/>
    </row>
    <row r="51" spans="1:47" ht="20.100000000000001" hidden="1" customHeight="1" x14ac:dyDescent="0.25">
      <c r="A51" s="12"/>
      <c r="B51" s="87"/>
      <c r="C51" s="328"/>
      <c r="D51" s="35"/>
      <c r="E51" s="127">
        <f>SUM(AJ2:AJ8)*1.21+1100</f>
        <v>3028.33223</v>
      </c>
      <c r="F51" s="39"/>
      <c r="G51" s="97">
        <f>E51</f>
        <v>3028.33223</v>
      </c>
      <c r="H51" s="38"/>
      <c r="I51" s="140">
        <f>E51</f>
        <v>3028.33223</v>
      </c>
      <c r="J51" s="39"/>
      <c r="K51" s="151">
        <f>E51</f>
        <v>3028.33223</v>
      </c>
      <c r="L51" s="38"/>
      <c r="M51" s="186">
        <f>E51</f>
        <v>3028.33223</v>
      </c>
      <c r="N51" s="35"/>
      <c r="O51" s="107">
        <f>K51</f>
        <v>3028.33223</v>
      </c>
      <c r="P51" s="39"/>
      <c r="Q51" s="165">
        <f>K51</f>
        <v>3028.33223</v>
      </c>
      <c r="R51" s="38"/>
      <c r="S51" s="118">
        <f>K51</f>
        <v>3028.33223</v>
      </c>
      <c r="T51" s="35"/>
      <c r="U51" s="35"/>
      <c r="V51" s="87"/>
      <c r="W51" s="87"/>
      <c r="X51" s="87"/>
      <c r="Y51" s="87"/>
      <c r="Z51" s="87"/>
      <c r="AA51" s="87"/>
      <c r="AB51" s="87"/>
      <c r="AC51" s="94"/>
      <c r="AD51" s="25"/>
      <c r="AE51" s="26"/>
      <c r="AF51" s="26"/>
      <c r="AG51" s="26"/>
      <c r="AH51" s="26"/>
      <c r="AI51" s="26"/>
      <c r="AJ51" s="26"/>
      <c r="AK51" s="29"/>
      <c r="AL51" s="29"/>
      <c r="AM51" s="29"/>
      <c r="AN51" s="29"/>
      <c r="AO51" s="29"/>
      <c r="AP51" s="29"/>
      <c r="AQ51" s="29"/>
      <c r="AR51" s="9"/>
      <c r="AS51" s="9"/>
      <c r="AT51" s="9"/>
      <c r="AU51" s="9"/>
    </row>
    <row r="52" spans="1:47" ht="20.100000000000001" hidden="1" customHeight="1" x14ac:dyDescent="0.25">
      <c r="A52" s="12"/>
      <c r="B52" s="87"/>
      <c r="C52" s="328"/>
      <c r="D52" s="35"/>
      <c r="E52" s="181">
        <f>SUM(E50:E51)</f>
        <v>8028.33223</v>
      </c>
      <c r="F52" s="39"/>
      <c r="G52" s="174">
        <f>SUM(G50:G51)</f>
        <v>15528.33223</v>
      </c>
      <c r="H52" s="38"/>
      <c r="I52" s="182">
        <f>SUM(I50:I51)</f>
        <v>15528.33223</v>
      </c>
      <c r="J52" s="39"/>
      <c r="K52" s="175">
        <f>SUM(K50:K51)</f>
        <v>9028.33223</v>
      </c>
      <c r="L52" s="38"/>
      <c r="M52" s="187">
        <f>SUM(M50:M51)</f>
        <v>11528.33223</v>
      </c>
      <c r="N52" s="35"/>
      <c r="O52" s="176">
        <f>SUM(O50:O51)</f>
        <v>7278.33223</v>
      </c>
      <c r="P52" s="39"/>
      <c r="Q52" s="177">
        <f>SUM(Q50:Q51)</f>
        <v>13028.33223</v>
      </c>
      <c r="R52" s="38"/>
      <c r="S52" s="196">
        <f>SUM(S50:S51)</f>
        <v>8028.33223</v>
      </c>
      <c r="T52" s="35"/>
      <c r="U52" s="35"/>
      <c r="V52" s="87"/>
      <c r="W52" s="87"/>
      <c r="X52" s="87"/>
      <c r="Y52" s="87"/>
      <c r="Z52" s="87"/>
      <c r="AA52" s="87"/>
      <c r="AB52" s="87"/>
      <c r="AC52" s="94"/>
      <c r="AD52" s="25"/>
      <c r="AE52" s="26"/>
      <c r="AF52" s="26"/>
      <c r="AG52" s="26"/>
      <c r="AH52" s="26"/>
      <c r="AI52" s="26"/>
      <c r="AJ52" s="26"/>
      <c r="AK52" s="29"/>
      <c r="AL52" s="29"/>
      <c r="AM52" s="29"/>
      <c r="AN52" s="29"/>
      <c r="AO52" s="29"/>
      <c r="AP52" s="29"/>
      <c r="AQ52" s="29"/>
      <c r="AR52" s="9"/>
      <c r="AS52" s="9"/>
      <c r="AT52" s="9"/>
      <c r="AU52" s="9"/>
    </row>
    <row r="53" spans="1:47" ht="20.100000000000001" hidden="1" customHeight="1" x14ac:dyDescent="0.25">
      <c r="A53" s="12"/>
      <c r="B53" s="87"/>
      <c r="C53" s="329"/>
      <c r="D53" s="35"/>
      <c r="E53" s="40"/>
      <c r="F53" s="38"/>
      <c r="G53" s="42"/>
      <c r="H53" s="35"/>
      <c r="I53" s="40"/>
      <c r="J53" s="38"/>
      <c r="K53" s="35"/>
      <c r="L53" s="38"/>
      <c r="M53" s="35"/>
      <c r="N53" s="38"/>
      <c r="O53" s="40"/>
      <c r="P53" s="38"/>
      <c r="Q53" s="35"/>
      <c r="R53" s="38"/>
      <c r="S53" s="35"/>
      <c r="T53" s="35"/>
      <c r="U53" s="35"/>
      <c r="V53" s="87"/>
      <c r="W53" s="87"/>
      <c r="X53" s="87"/>
      <c r="Y53" s="87"/>
      <c r="Z53" s="87"/>
      <c r="AA53" s="87"/>
      <c r="AB53" s="87"/>
      <c r="AC53" s="303"/>
      <c r="AD53" s="25"/>
      <c r="AE53" s="26"/>
      <c r="AF53" s="26"/>
      <c r="AG53" s="26"/>
      <c r="AH53" s="26"/>
      <c r="AI53" s="26"/>
      <c r="AJ53" s="26"/>
      <c r="AK53" s="29"/>
      <c r="AL53" s="29"/>
      <c r="AM53" s="29"/>
      <c r="AN53" s="29"/>
      <c r="AO53" s="29"/>
      <c r="AP53" s="29"/>
      <c r="AQ53" s="29"/>
      <c r="AR53" s="9"/>
      <c r="AS53" s="9"/>
      <c r="AT53" s="9"/>
      <c r="AU53" s="9"/>
    </row>
    <row r="54" spans="1:47" ht="20.100000000000001" hidden="1" customHeight="1" x14ac:dyDescent="0.25">
      <c r="A54" s="12"/>
      <c r="B54" s="87"/>
      <c r="C54" s="330"/>
      <c r="D54" s="35"/>
      <c r="E54" s="129">
        <f>((U8+Y25)*110%)*1.3%</f>
        <v>1430.0000000000002</v>
      </c>
      <c r="F54" s="39"/>
      <c r="G54" s="99">
        <f>((U8+Y25)*110%*1.3%)</f>
        <v>1430.0000000000002</v>
      </c>
      <c r="H54" s="39"/>
      <c r="I54" s="143">
        <f>((U8+Y25)*110%*1.3%)</f>
        <v>1430.0000000000002</v>
      </c>
      <c r="J54" s="39"/>
      <c r="K54" s="154">
        <f>((U8+Y25)*110%*1.3%)</f>
        <v>1430.0000000000002</v>
      </c>
      <c r="L54" s="39"/>
      <c r="M54" s="188">
        <f>((U8+Y25)*110%*1.3%)</f>
        <v>1430.0000000000002</v>
      </c>
      <c r="N54" s="35"/>
      <c r="O54" s="109">
        <f>((U8+Y25)*110%*1.3%)</f>
        <v>1430.0000000000002</v>
      </c>
      <c r="P54" s="39"/>
      <c r="Q54" s="167">
        <f>((U8+Y25)*110%*1.3%)</f>
        <v>1430.0000000000002</v>
      </c>
      <c r="R54" s="39"/>
      <c r="S54" s="120">
        <f>((U8+Y25)*110%*1.3%)</f>
        <v>1430.0000000000002</v>
      </c>
      <c r="T54" s="35"/>
      <c r="U54" s="35"/>
      <c r="V54" s="87"/>
      <c r="W54" s="87"/>
      <c r="X54" s="87"/>
      <c r="Y54" s="87"/>
      <c r="Z54" s="87"/>
      <c r="AA54" s="87"/>
      <c r="AB54" s="87"/>
      <c r="AC54" s="94"/>
      <c r="AD54" s="81"/>
      <c r="AE54" s="56"/>
      <c r="AF54" s="26"/>
      <c r="AG54" s="26"/>
      <c r="AH54" s="26"/>
      <c r="AI54" s="26"/>
      <c r="AJ54" s="57"/>
      <c r="AK54" s="29"/>
      <c r="AL54" s="29"/>
      <c r="AM54" s="29"/>
      <c r="AN54" s="29"/>
      <c r="AO54" s="29"/>
      <c r="AP54" s="29"/>
      <c r="AQ54" s="29"/>
      <c r="AR54" s="9"/>
      <c r="AS54" s="9"/>
      <c r="AT54" s="9"/>
      <c r="AU54" s="9"/>
    </row>
    <row r="55" spans="1:47" ht="20.100000000000001" hidden="1" customHeight="1" x14ac:dyDescent="0.25">
      <c r="A55" s="12"/>
      <c r="B55" s="87"/>
      <c r="C55" s="330"/>
      <c r="D55" s="35"/>
      <c r="E55" s="127">
        <f>SUM(AJ10:AJ17)*1.21+1210</f>
        <v>1998.5753919999997</v>
      </c>
      <c r="F55" s="38"/>
      <c r="G55" s="95">
        <f>E55</f>
        <v>1998.5753919999997</v>
      </c>
      <c r="H55" s="38"/>
      <c r="I55" s="142">
        <f>E55</f>
        <v>1998.5753919999997</v>
      </c>
      <c r="J55" s="38"/>
      <c r="K55" s="153">
        <f>E55</f>
        <v>1998.5753919999997</v>
      </c>
      <c r="L55" s="38"/>
      <c r="M55" s="189">
        <f>E55</f>
        <v>1998.5753919999997</v>
      </c>
      <c r="N55" s="35"/>
      <c r="O55" s="105">
        <f>K55</f>
        <v>1998.5753919999997</v>
      </c>
      <c r="P55" s="38"/>
      <c r="Q55" s="163">
        <f>K55</f>
        <v>1998.5753919999997</v>
      </c>
      <c r="R55" s="38"/>
      <c r="S55" s="116">
        <f>K55</f>
        <v>1998.5753919999997</v>
      </c>
      <c r="T55" s="35"/>
      <c r="U55" s="35"/>
      <c r="V55" s="87"/>
      <c r="W55" s="87"/>
      <c r="X55" s="87"/>
      <c r="Y55" s="87"/>
      <c r="Z55" s="87"/>
      <c r="AA55" s="87"/>
      <c r="AB55" s="87"/>
      <c r="AC55" s="94"/>
      <c r="AD55" s="25"/>
      <c r="AE55" s="26"/>
      <c r="AF55" s="4"/>
      <c r="AG55" s="4"/>
      <c r="AH55" s="28"/>
      <c r="AI55" s="26"/>
      <c r="AJ55" s="26"/>
      <c r="AK55" s="29"/>
      <c r="AL55" s="29"/>
      <c r="AM55" s="29"/>
      <c r="AN55" s="29"/>
      <c r="AO55" s="29"/>
      <c r="AP55" s="29"/>
      <c r="AQ55" s="29"/>
      <c r="AR55" s="9"/>
      <c r="AS55" s="9"/>
      <c r="AT55" s="9"/>
      <c r="AU55" s="9"/>
    </row>
    <row r="56" spans="1:47" ht="20.100000000000001" hidden="1" customHeight="1" x14ac:dyDescent="0.25">
      <c r="A56" s="12"/>
      <c r="B56" s="87"/>
      <c r="C56" s="320"/>
      <c r="D56" s="35"/>
      <c r="E56" s="130">
        <f>SUM(E54:E55)</f>
        <v>3428.5753919999997</v>
      </c>
      <c r="F56" s="38"/>
      <c r="G56" s="100">
        <f>E56</f>
        <v>3428.5753919999997</v>
      </c>
      <c r="H56" s="38"/>
      <c r="I56" s="144">
        <f>E56</f>
        <v>3428.5753919999997</v>
      </c>
      <c r="J56" s="38"/>
      <c r="K56" s="155">
        <f>E56</f>
        <v>3428.5753919999997</v>
      </c>
      <c r="L56" s="38"/>
      <c r="M56" s="190">
        <f>E56</f>
        <v>3428.5753919999997</v>
      </c>
      <c r="N56" s="35"/>
      <c r="O56" s="110">
        <f>K56</f>
        <v>3428.5753919999997</v>
      </c>
      <c r="P56" s="38"/>
      <c r="Q56" s="168">
        <f>K56</f>
        <v>3428.5753919999997</v>
      </c>
      <c r="R56" s="38"/>
      <c r="S56" s="121">
        <f>K56</f>
        <v>3428.5753919999997</v>
      </c>
      <c r="T56" s="35"/>
      <c r="U56" s="35"/>
      <c r="V56" s="87"/>
      <c r="W56" s="87"/>
      <c r="X56" s="87"/>
      <c r="Y56" s="87"/>
      <c r="Z56" s="87"/>
      <c r="AA56" s="87"/>
      <c r="AB56" s="87"/>
      <c r="AC56" s="94"/>
      <c r="AD56" s="25"/>
      <c r="AE56" s="26"/>
      <c r="AF56" s="26"/>
      <c r="AG56" s="26"/>
      <c r="AH56" s="26"/>
      <c r="AI56" s="26"/>
      <c r="AJ56" s="26"/>
      <c r="AK56" s="29"/>
      <c r="AL56" s="29"/>
      <c r="AM56" s="29"/>
      <c r="AN56" s="29"/>
      <c r="AO56" s="29"/>
      <c r="AP56" s="29"/>
      <c r="AQ56" s="29"/>
      <c r="AR56" s="9"/>
      <c r="AS56" s="9"/>
      <c r="AT56" s="9"/>
      <c r="AU56" s="9"/>
    </row>
    <row r="57" spans="1:47" ht="20.100000000000001" hidden="1" customHeight="1" x14ac:dyDescent="0.25">
      <c r="A57" s="12"/>
      <c r="B57" s="87"/>
      <c r="C57" s="320"/>
      <c r="D57" s="35"/>
      <c r="E57" s="43"/>
      <c r="F57" s="38"/>
      <c r="G57" s="43"/>
      <c r="H57" s="38"/>
      <c r="I57" s="43"/>
      <c r="J57" s="38"/>
      <c r="K57" s="43"/>
      <c r="L57" s="38"/>
      <c r="M57" s="43"/>
      <c r="N57" s="35"/>
      <c r="O57" s="43"/>
      <c r="P57" s="38"/>
      <c r="Q57" s="43"/>
      <c r="R57" s="38"/>
      <c r="S57" s="43"/>
      <c r="T57" s="35"/>
      <c r="U57" s="35"/>
      <c r="V57" s="87"/>
      <c r="W57" s="87"/>
      <c r="X57" s="87"/>
      <c r="Y57" s="87"/>
      <c r="Z57" s="87"/>
      <c r="AA57" s="87"/>
      <c r="AB57" s="87"/>
      <c r="AC57" s="94"/>
      <c r="AD57" s="25"/>
      <c r="AE57" s="26"/>
      <c r="AF57" s="26"/>
      <c r="AG57" s="26"/>
      <c r="AH57" s="26"/>
      <c r="AI57" s="26"/>
      <c r="AJ57" s="26"/>
      <c r="AK57" s="29"/>
      <c r="AL57" s="29"/>
      <c r="AM57" s="29"/>
      <c r="AN57" s="29"/>
      <c r="AO57" s="29"/>
      <c r="AP57" s="29"/>
      <c r="AQ57" s="29"/>
      <c r="AR57" s="9"/>
      <c r="AS57" s="9"/>
      <c r="AT57" s="9"/>
      <c r="AU57" s="9"/>
    </row>
    <row r="58" spans="1:47" ht="20.100000000000001" hidden="1" customHeight="1" x14ac:dyDescent="0.25">
      <c r="A58" s="12"/>
      <c r="B58" s="87"/>
      <c r="C58" s="320"/>
      <c r="D58" s="35"/>
      <c r="E58" s="129">
        <f>E56+E52</f>
        <v>11456.907621999999</v>
      </c>
      <c r="F58" s="38"/>
      <c r="G58" s="99">
        <f>G56+G52</f>
        <v>18956.907621999999</v>
      </c>
      <c r="H58" s="38"/>
      <c r="I58" s="143">
        <f>I56+I52</f>
        <v>18956.907621999999</v>
      </c>
      <c r="J58" s="38"/>
      <c r="K58" s="154">
        <f>K56+K52</f>
        <v>12456.907621999999</v>
      </c>
      <c r="L58" s="38"/>
      <c r="M58" s="188">
        <f>M56+M52</f>
        <v>14956.907621999999</v>
      </c>
      <c r="N58" s="45"/>
      <c r="O58" s="109">
        <f>O56+O52</f>
        <v>10706.907621999999</v>
      </c>
      <c r="P58" s="38"/>
      <c r="Q58" s="167">
        <f>Q56+Q52</f>
        <v>16456.907621999999</v>
      </c>
      <c r="R58" s="38"/>
      <c r="S58" s="120">
        <f>S56+S52</f>
        <v>11456.907621999999</v>
      </c>
      <c r="T58" s="35"/>
      <c r="U58" s="35"/>
      <c r="V58" s="87"/>
      <c r="W58" s="87"/>
      <c r="X58" s="87"/>
      <c r="Y58" s="87"/>
      <c r="Z58" s="87"/>
      <c r="AA58" s="87"/>
      <c r="AB58" s="94"/>
      <c r="AC58" s="94"/>
      <c r="AD58" s="25"/>
      <c r="AE58" s="26"/>
      <c r="AF58" s="26"/>
      <c r="AG58" s="26"/>
      <c r="AH58" s="26"/>
      <c r="AI58" s="26"/>
      <c r="AJ58" s="26"/>
      <c r="AK58" s="29"/>
      <c r="AL58" s="29"/>
      <c r="AM58" s="29"/>
      <c r="AN58" s="29"/>
      <c r="AO58" s="29"/>
      <c r="AP58" s="29"/>
      <c r="AQ58" s="29"/>
      <c r="AR58" s="9"/>
      <c r="AS58" s="9"/>
      <c r="AT58" s="9"/>
      <c r="AU58" s="9"/>
    </row>
    <row r="59" spans="1:47" ht="20.100000000000001" hidden="1" customHeight="1" x14ac:dyDescent="0.25">
      <c r="A59" s="12"/>
      <c r="B59" s="87"/>
      <c r="C59" s="320"/>
      <c r="D59" s="35"/>
      <c r="E59" s="131">
        <f>U36+U37</f>
        <v>0</v>
      </c>
      <c r="F59" s="38"/>
      <c r="G59" s="101">
        <f>U36+U37</f>
        <v>0</v>
      </c>
      <c r="H59" s="38"/>
      <c r="I59" s="145">
        <f>U36+U37</f>
        <v>0</v>
      </c>
      <c r="J59" s="38"/>
      <c r="K59" s="156">
        <f>U36+U37</f>
        <v>0</v>
      </c>
      <c r="L59" s="38"/>
      <c r="M59" s="191">
        <f>U36+U37</f>
        <v>0</v>
      </c>
      <c r="N59" s="45"/>
      <c r="O59" s="111">
        <f>U36+U37</f>
        <v>0</v>
      </c>
      <c r="P59" s="38"/>
      <c r="Q59" s="169">
        <f>U36+U37</f>
        <v>0</v>
      </c>
      <c r="R59" s="38"/>
      <c r="S59" s="122">
        <f>U36+U37</f>
        <v>0</v>
      </c>
      <c r="T59" s="35"/>
      <c r="U59" s="35"/>
      <c r="V59" s="87"/>
      <c r="W59" s="87"/>
      <c r="X59" s="87"/>
      <c r="Y59" s="87"/>
      <c r="Z59" s="87"/>
      <c r="AA59" s="87"/>
      <c r="AB59" s="94"/>
      <c r="AC59" s="304"/>
      <c r="AD59" s="25"/>
      <c r="AE59" s="26"/>
      <c r="AF59" s="26"/>
      <c r="AG59" s="26"/>
      <c r="AH59" s="26"/>
      <c r="AI59" s="26"/>
      <c r="AJ59" s="26"/>
      <c r="AK59" s="29"/>
      <c r="AL59" s="29"/>
      <c r="AM59" s="29"/>
      <c r="AN59" s="29"/>
      <c r="AO59" s="29"/>
      <c r="AP59" s="29"/>
      <c r="AQ59" s="29"/>
      <c r="AR59" s="9"/>
      <c r="AS59" s="9"/>
      <c r="AT59" s="9"/>
      <c r="AU59" s="9"/>
    </row>
    <row r="60" spans="1:47" ht="20.100000000000001" customHeight="1" x14ac:dyDescent="0.25">
      <c r="A60" s="12"/>
      <c r="B60" s="87"/>
      <c r="C60" s="320"/>
      <c r="D60" s="35"/>
      <c r="E60" s="343">
        <v>3052.41</v>
      </c>
      <c r="F60" s="344">
        <v>3052.41</v>
      </c>
      <c r="G60" s="343">
        <v>3052.41</v>
      </c>
      <c r="H60" s="344">
        <v>3052.41</v>
      </c>
      <c r="I60" s="343">
        <v>3052.41</v>
      </c>
      <c r="J60" s="344">
        <v>3052.41</v>
      </c>
      <c r="K60" s="343">
        <v>3052.41</v>
      </c>
      <c r="L60" s="344">
        <v>3052.41</v>
      </c>
      <c r="M60" s="343">
        <v>3052.41</v>
      </c>
      <c r="N60" s="344">
        <v>3052.41</v>
      </c>
      <c r="O60" s="343">
        <v>3052.41</v>
      </c>
      <c r="P60" s="344">
        <v>3052.41</v>
      </c>
      <c r="Q60" s="343">
        <v>3052.41</v>
      </c>
      <c r="R60" s="344">
        <v>3052.41</v>
      </c>
      <c r="S60" s="343">
        <v>3052.41</v>
      </c>
      <c r="T60" s="35"/>
      <c r="U60" s="35"/>
      <c r="V60" s="87"/>
      <c r="W60" s="87"/>
      <c r="X60" s="87"/>
      <c r="Y60" s="87"/>
      <c r="Z60" s="87"/>
      <c r="AA60" s="87"/>
      <c r="AB60" s="94"/>
      <c r="AC60" s="304"/>
      <c r="AD60" s="76"/>
      <c r="AE60" s="26"/>
      <c r="AF60" s="26"/>
      <c r="AG60" s="26"/>
      <c r="AH60" s="26"/>
      <c r="AI60" s="26"/>
      <c r="AJ60" s="26"/>
      <c r="AK60" s="29"/>
      <c r="AL60" s="29"/>
      <c r="AM60" s="29"/>
      <c r="AN60" s="29"/>
      <c r="AO60" s="29"/>
      <c r="AP60" s="29"/>
      <c r="AQ60" s="29"/>
      <c r="AR60" s="9"/>
      <c r="AS60" s="9"/>
      <c r="AT60" s="9"/>
      <c r="AU60" s="9"/>
    </row>
    <row r="61" spans="1:47" ht="20.100000000000001" customHeight="1" x14ac:dyDescent="0.25">
      <c r="A61" s="12"/>
      <c r="B61" s="87"/>
      <c r="C61" s="329"/>
      <c r="D61" s="35"/>
      <c r="E61" s="132">
        <f>U34</f>
        <v>0</v>
      </c>
      <c r="F61" s="38"/>
      <c r="G61" s="102">
        <f>E61</f>
        <v>0</v>
      </c>
      <c r="H61" s="38"/>
      <c r="I61" s="146">
        <f>E61</f>
        <v>0</v>
      </c>
      <c r="J61" s="38"/>
      <c r="K61" s="157">
        <f>E61</f>
        <v>0</v>
      </c>
      <c r="L61" s="38"/>
      <c r="M61" s="192">
        <f>E61</f>
        <v>0</v>
      </c>
      <c r="N61" s="45"/>
      <c r="O61" s="112">
        <f>K61</f>
        <v>0</v>
      </c>
      <c r="P61" s="38"/>
      <c r="Q61" s="170">
        <f>K61</f>
        <v>0</v>
      </c>
      <c r="R61" s="38"/>
      <c r="S61" s="125">
        <f>K61</f>
        <v>0</v>
      </c>
      <c r="T61" s="35"/>
      <c r="U61" s="35"/>
      <c r="V61" s="87"/>
      <c r="W61" s="87"/>
      <c r="X61" s="87"/>
      <c r="Y61" s="87"/>
      <c r="Z61" s="87"/>
      <c r="AA61" s="87"/>
      <c r="AB61" s="94"/>
      <c r="AC61" s="304"/>
      <c r="AD61" s="76"/>
      <c r="AE61" s="26"/>
      <c r="AF61" s="26"/>
      <c r="AG61" s="26"/>
      <c r="AH61" s="26"/>
      <c r="AI61" s="26"/>
      <c r="AJ61" s="26"/>
      <c r="AK61" s="29"/>
      <c r="AL61" s="29"/>
      <c r="AM61" s="29"/>
      <c r="AN61" s="29"/>
      <c r="AO61" s="29"/>
      <c r="AP61" s="29"/>
      <c r="AQ61" s="29"/>
      <c r="AR61" s="9"/>
      <c r="AS61" s="9"/>
      <c r="AT61" s="9"/>
      <c r="AU61" s="9"/>
    </row>
    <row r="62" spans="1:47" ht="20.100000000000001" customHeight="1" x14ac:dyDescent="0.25">
      <c r="A62" s="12"/>
      <c r="B62" s="87"/>
      <c r="C62" s="331"/>
      <c r="D62" s="35"/>
      <c r="E62" s="128">
        <f>SUM(E58:E60)-E61+E45</f>
        <v>114509.317622</v>
      </c>
      <c r="F62" s="39"/>
      <c r="G62" s="98">
        <f>SUM(G58:G60)-G61+G45</f>
        <v>122009.317622</v>
      </c>
      <c r="H62" s="39"/>
      <c r="I62" s="141">
        <f>SUM(I58:I60)-I61+I45</f>
        <v>122009.317622</v>
      </c>
      <c r="J62" s="39"/>
      <c r="K62" s="152">
        <f>SUM(K58:K60)-K61+K45</f>
        <v>115509.317622</v>
      </c>
      <c r="L62" s="38"/>
      <c r="M62" s="193">
        <f>SUM(M58:M60)-M61+M45</f>
        <v>118009.317622</v>
      </c>
      <c r="N62" s="45"/>
      <c r="O62" s="108">
        <f>SUM(O58:O60)-O61+O45</f>
        <v>113759.317622</v>
      </c>
      <c r="P62" s="39"/>
      <c r="Q62" s="166">
        <f>SUM(Q58:Q60)-Q61+Q45</f>
        <v>119509.317622</v>
      </c>
      <c r="R62" s="38"/>
      <c r="S62" s="119">
        <f>SUM(S58:S60)-S61+S45</f>
        <v>114509.317622</v>
      </c>
      <c r="T62" s="35"/>
      <c r="U62" s="35"/>
      <c r="V62" s="87"/>
      <c r="W62" s="87"/>
      <c r="X62" s="87"/>
      <c r="Y62" s="87"/>
      <c r="Z62" s="87"/>
      <c r="AA62" s="87"/>
      <c r="AB62" s="94"/>
      <c r="AC62" s="304"/>
      <c r="AD62" s="76"/>
      <c r="AE62" s="26"/>
      <c r="AF62" s="26"/>
      <c r="AG62" s="26"/>
      <c r="AH62" s="26"/>
      <c r="AI62" s="26"/>
      <c r="AJ62" s="26"/>
      <c r="AK62" s="29"/>
      <c r="AL62" s="29"/>
      <c r="AM62" s="29"/>
      <c r="AN62" s="29"/>
      <c r="AO62" s="29"/>
      <c r="AP62" s="29"/>
      <c r="AQ62" s="29"/>
      <c r="AR62" s="9"/>
      <c r="AS62" s="9"/>
      <c r="AT62" s="9"/>
      <c r="AU62" s="9"/>
    </row>
    <row r="63" spans="1:47" ht="20.100000000000001" customHeight="1" x14ac:dyDescent="0.25">
      <c r="A63" s="12"/>
      <c r="B63" s="87"/>
      <c r="C63" s="332"/>
      <c r="D63" s="35"/>
      <c r="E63" s="35"/>
      <c r="F63" s="35"/>
      <c r="G63" s="35"/>
      <c r="H63" s="35"/>
      <c r="I63" s="35"/>
      <c r="J63" s="35"/>
      <c r="K63" s="35"/>
      <c r="L63" s="35"/>
      <c r="M63" s="35"/>
      <c r="N63" s="45"/>
      <c r="O63" s="35"/>
      <c r="P63" s="35"/>
      <c r="Q63" s="35"/>
      <c r="R63" s="35"/>
      <c r="S63" s="35"/>
      <c r="T63" s="35"/>
      <c r="U63" s="35"/>
      <c r="V63" s="87"/>
      <c r="W63" s="87"/>
      <c r="X63" s="87"/>
      <c r="Y63" s="87"/>
      <c r="Z63" s="87"/>
      <c r="AA63" s="87"/>
      <c r="AB63" s="94"/>
      <c r="AC63" s="304"/>
      <c r="AD63" s="76"/>
      <c r="AE63" s="26"/>
      <c r="AF63" s="26"/>
      <c r="AG63" s="26"/>
      <c r="AH63" s="26"/>
      <c r="AI63" s="26"/>
      <c r="AJ63" s="26"/>
      <c r="AK63" s="29"/>
      <c r="AL63" s="29"/>
      <c r="AM63" s="29"/>
      <c r="AN63" s="29"/>
      <c r="AO63" s="29"/>
      <c r="AP63" s="29"/>
      <c r="AQ63" s="29"/>
      <c r="AR63" s="9"/>
      <c r="AS63" s="9"/>
      <c r="AT63" s="9"/>
      <c r="AU63" s="9"/>
    </row>
    <row r="64" spans="1:47" ht="20.100000000000001" customHeight="1" x14ac:dyDescent="0.25">
      <c r="A64" s="12"/>
      <c r="B64" s="87"/>
      <c r="C64" s="320"/>
      <c r="D64" s="35"/>
      <c r="E64" s="133">
        <f>CHOOSE(MATCH(E62,{0;30001;250001;500001},1),175,290,500,750)</f>
        <v>290</v>
      </c>
      <c r="F64" s="35"/>
      <c r="G64" s="103">
        <f>CHOOSE(MATCH(G62,{0;30001;250001;500001},1),175,290,500,750)</f>
        <v>290</v>
      </c>
      <c r="H64" s="72"/>
      <c r="I64" s="147">
        <f>CHOOSE(MATCH(I62,{0;30001;250001;500001},1),175,290,500,750)</f>
        <v>290</v>
      </c>
      <c r="J64" s="72"/>
      <c r="K64" s="158">
        <f>CHOOSE(MATCH(K62,{0;30001;250001;500001},1),175,290,500,750)</f>
        <v>290</v>
      </c>
      <c r="L64" s="72"/>
      <c r="M64" s="194">
        <f>CHOOSE(MATCH(M62,{0;30001;250001;500001},1),175,290,500,750)</f>
        <v>290</v>
      </c>
      <c r="N64" s="72"/>
      <c r="O64" s="113">
        <f>CHOOSE(MATCH(O62,{0;30001;250001;500001},1),175,290,500,750)</f>
        <v>290</v>
      </c>
      <c r="P64" s="72"/>
      <c r="Q64" s="171">
        <f>CHOOSE(MATCH(Q62,{0;30001;250001;500001},1),175,290,500,750)</f>
        <v>290</v>
      </c>
      <c r="R64" s="72"/>
      <c r="S64" s="123">
        <f>CHOOSE(MATCH(S62,{0;30001;250001;500001},1),175,290,500,750)</f>
        <v>290</v>
      </c>
      <c r="T64" s="35"/>
      <c r="U64" s="35"/>
      <c r="V64" s="87"/>
      <c r="W64" s="87"/>
      <c r="X64" s="87"/>
      <c r="Y64" s="87"/>
      <c r="Z64" s="87"/>
      <c r="AA64" s="87"/>
      <c r="AB64" s="94"/>
      <c r="AC64" s="304"/>
      <c r="AD64" s="76"/>
      <c r="AE64" s="26"/>
      <c r="AF64" s="26"/>
      <c r="AG64" s="26"/>
      <c r="AH64" s="26"/>
      <c r="AI64" s="26"/>
      <c r="AJ64" s="26"/>
      <c r="AK64" s="29"/>
      <c r="AL64" s="29"/>
      <c r="AM64" s="29"/>
      <c r="AN64" s="29"/>
      <c r="AO64" s="29"/>
      <c r="AP64" s="29"/>
      <c r="AQ64" s="29"/>
      <c r="AR64" s="9"/>
      <c r="AS64" s="9"/>
      <c r="AT64" s="9"/>
      <c r="AU64" s="9"/>
    </row>
    <row r="65" spans="1:47" ht="20.100000000000001" customHeight="1" x14ac:dyDescent="0.25">
      <c r="A65" s="12"/>
      <c r="B65" s="87"/>
      <c r="C65" s="333"/>
      <c r="D65" s="35"/>
      <c r="E65" s="134">
        <f>E64+E62</f>
        <v>114799.317622</v>
      </c>
      <c r="F65" s="38"/>
      <c r="G65" s="104">
        <f t="shared" ref="G65:S65" si="6">G64+G62</f>
        <v>122299.317622</v>
      </c>
      <c r="H65" s="38"/>
      <c r="I65" s="148">
        <f t="shared" si="6"/>
        <v>122299.317622</v>
      </c>
      <c r="J65" s="38"/>
      <c r="K65" s="159">
        <f t="shared" si="6"/>
        <v>115799.317622</v>
      </c>
      <c r="L65" s="38"/>
      <c r="M65" s="195">
        <f t="shared" si="6"/>
        <v>118299.317622</v>
      </c>
      <c r="N65" s="38"/>
      <c r="O65" s="114">
        <f t="shared" si="6"/>
        <v>114049.317622</v>
      </c>
      <c r="P65" s="38"/>
      <c r="Q65" s="172">
        <f t="shared" si="6"/>
        <v>119799.317622</v>
      </c>
      <c r="R65" s="38"/>
      <c r="S65" s="124">
        <f t="shared" si="6"/>
        <v>114799.317622</v>
      </c>
      <c r="T65" s="35"/>
      <c r="U65" s="35"/>
      <c r="V65" s="87"/>
      <c r="W65" s="87"/>
      <c r="X65" s="87"/>
      <c r="Y65" s="87"/>
      <c r="Z65" s="87"/>
      <c r="AA65" s="87"/>
      <c r="AB65" s="94"/>
      <c r="AC65" s="304"/>
      <c r="AD65" s="76"/>
      <c r="AE65" s="26"/>
      <c r="AF65" s="26"/>
      <c r="AG65" s="26"/>
      <c r="AH65" s="26"/>
      <c r="AI65" s="26"/>
      <c r="AJ65" s="26"/>
      <c r="AK65" s="29"/>
      <c r="AL65" s="29"/>
      <c r="AM65" s="29"/>
      <c r="AN65" s="29"/>
      <c r="AO65" s="29"/>
      <c r="AP65" s="29"/>
      <c r="AQ65" s="29"/>
      <c r="AR65" s="9"/>
      <c r="AS65" s="9"/>
      <c r="AT65" s="9"/>
      <c r="AU65" s="9"/>
    </row>
    <row r="66" spans="1:47" ht="20.100000000000001" customHeight="1" x14ac:dyDescent="0.25">
      <c r="A66" s="12"/>
      <c r="B66" s="87"/>
      <c r="C66" s="318"/>
      <c r="D66" s="35"/>
      <c r="E66" s="42"/>
      <c r="F66" s="38"/>
      <c r="G66" s="35"/>
      <c r="H66" s="35"/>
      <c r="I66" s="35"/>
      <c r="J66" s="38"/>
      <c r="K66" s="42"/>
      <c r="L66" s="38"/>
      <c r="M66" s="42"/>
      <c r="N66" s="46"/>
      <c r="O66" s="39"/>
      <c r="P66" s="39"/>
      <c r="Q66" s="85"/>
      <c r="R66" s="35"/>
      <c r="S66" s="35"/>
      <c r="T66" s="35"/>
      <c r="U66" s="35"/>
      <c r="V66" s="87"/>
      <c r="W66" s="87"/>
      <c r="X66" s="87"/>
      <c r="Y66" s="87"/>
      <c r="Z66" s="87"/>
      <c r="AA66" s="87"/>
      <c r="AB66" s="94"/>
      <c r="AC66" s="304"/>
      <c r="AD66" s="76"/>
      <c r="AE66" s="26"/>
      <c r="AF66" s="26"/>
      <c r="AG66" s="26"/>
      <c r="AH66" s="26"/>
      <c r="AI66" s="26"/>
      <c r="AJ66" s="26"/>
      <c r="AK66" s="29"/>
      <c r="AL66" s="29"/>
      <c r="AM66" s="29"/>
      <c r="AN66" s="29"/>
      <c r="AO66" s="29"/>
      <c r="AP66" s="29"/>
      <c r="AQ66" s="29"/>
      <c r="AR66" s="9"/>
      <c r="AS66" s="9"/>
      <c r="AT66" s="9"/>
      <c r="AU66" s="9"/>
    </row>
    <row r="67" spans="1:47" ht="20.100000000000001" customHeight="1" x14ac:dyDescent="0.25">
      <c r="A67" s="12"/>
      <c r="B67" s="87"/>
      <c r="C67" s="318"/>
      <c r="D67" s="35"/>
      <c r="E67" s="42"/>
      <c r="F67" s="38"/>
      <c r="G67" s="35"/>
      <c r="H67" s="35"/>
      <c r="I67" s="35"/>
      <c r="J67" s="38"/>
      <c r="K67" s="42"/>
      <c r="L67" s="38"/>
      <c r="M67" s="42"/>
      <c r="N67" s="46"/>
      <c r="O67" s="39"/>
      <c r="P67" s="39"/>
      <c r="Q67" s="85"/>
      <c r="R67" s="35"/>
      <c r="S67" s="35"/>
      <c r="T67" s="35"/>
      <c r="U67" s="35"/>
      <c r="V67" s="87"/>
      <c r="W67" s="87"/>
      <c r="X67" s="87"/>
      <c r="Y67" s="87"/>
      <c r="Z67" s="87"/>
      <c r="AA67" s="87"/>
      <c r="AB67" s="94"/>
      <c r="AC67" s="304"/>
      <c r="AD67" s="76"/>
      <c r="AE67" s="26"/>
      <c r="AF67" s="26"/>
      <c r="AG67" s="26"/>
      <c r="AH67" s="26"/>
      <c r="AI67" s="26"/>
      <c r="AJ67" s="26"/>
      <c r="AK67" s="29"/>
      <c r="AL67" s="29"/>
      <c r="AM67" s="29"/>
      <c r="AN67" s="29"/>
      <c r="AO67" s="29"/>
      <c r="AP67" s="29"/>
      <c r="AQ67" s="29"/>
      <c r="AR67" s="9"/>
      <c r="AS67" s="9"/>
      <c r="AT67" s="9"/>
      <c r="AU67" s="9"/>
    </row>
    <row r="68" spans="1:47" ht="20.100000000000001" customHeight="1" x14ac:dyDescent="0.25">
      <c r="A68" s="12"/>
      <c r="B68" s="87"/>
      <c r="C68" s="334"/>
      <c r="D68" s="35"/>
      <c r="E68" s="42"/>
      <c r="F68" s="38"/>
      <c r="G68" s="197"/>
      <c r="H68" s="198"/>
      <c r="I68" s="198"/>
      <c r="J68" s="38"/>
      <c r="K68" s="42"/>
      <c r="L68" s="38"/>
      <c r="M68" s="42"/>
      <c r="N68" s="46"/>
      <c r="O68" s="39"/>
      <c r="P68" s="39"/>
      <c r="Q68" s="85"/>
      <c r="R68" s="35"/>
      <c r="S68" s="35"/>
      <c r="T68" s="35"/>
      <c r="U68" s="35"/>
      <c r="V68" s="87"/>
      <c r="W68" s="87"/>
      <c r="X68" s="87"/>
      <c r="Y68" s="87"/>
      <c r="Z68" s="87"/>
      <c r="AA68" s="87"/>
      <c r="AB68" s="94"/>
      <c r="AC68" s="304"/>
      <c r="AD68" s="76"/>
      <c r="AE68" s="26"/>
      <c r="AF68" s="26"/>
      <c r="AG68" s="26"/>
      <c r="AH68" s="26"/>
      <c r="AI68" s="26"/>
      <c r="AJ68" s="26"/>
      <c r="AK68" s="29"/>
      <c r="AL68" s="29"/>
      <c r="AM68" s="29"/>
      <c r="AN68" s="29"/>
      <c r="AO68" s="29"/>
      <c r="AP68" s="29"/>
      <c r="AQ68" s="29"/>
      <c r="AR68" s="9"/>
      <c r="AS68" s="9"/>
      <c r="AT68" s="9"/>
      <c r="AU68" s="9"/>
    </row>
    <row r="69" spans="1:47" ht="20.100000000000001" customHeight="1" x14ac:dyDescent="0.25">
      <c r="A69" s="12"/>
      <c r="B69" s="87"/>
      <c r="C69" s="335"/>
      <c r="D69" s="35"/>
      <c r="E69" s="42"/>
      <c r="F69" s="38"/>
      <c r="G69" s="198"/>
      <c r="H69" s="198"/>
      <c r="I69" s="198"/>
      <c r="J69" s="38"/>
      <c r="K69" s="42"/>
      <c r="L69" s="283"/>
      <c r="M69" s="294" t="s">
        <v>80</v>
      </c>
      <c r="N69" s="295"/>
      <c r="O69" s="71"/>
      <c r="P69" s="71"/>
      <c r="Q69" s="296"/>
      <c r="R69" s="297"/>
      <c r="S69" s="297"/>
      <c r="T69" s="297"/>
      <c r="U69" s="297"/>
      <c r="V69" s="305"/>
      <c r="W69" s="305"/>
      <c r="X69" s="87"/>
      <c r="Y69" s="87"/>
      <c r="Z69" s="87"/>
      <c r="AA69" s="87"/>
      <c r="AB69" s="94"/>
      <c r="AC69" s="304"/>
      <c r="AD69" s="76"/>
      <c r="AE69" s="26"/>
      <c r="AF69" s="26"/>
      <c r="AG69" s="26"/>
      <c r="AH69" s="26"/>
      <c r="AI69" s="26"/>
      <c r="AJ69" s="26"/>
      <c r="AK69" s="29"/>
      <c r="AL69" s="29"/>
      <c r="AM69" s="29"/>
      <c r="AN69" s="29"/>
      <c r="AO69" s="29"/>
      <c r="AP69" s="29"/>
      <c r="AQ69" s="29"/>
      <c r="AR69" s="9"/>
      <c r="AS69" s="9"/>
      <c r="AT69" s="9"/>
      <c r="AU69" s="9"/>
    </row>
    <row r="70" spans="1:47" ht="20.100000000000001" customHeight="1" x14ac:dyDescent="0.25">
      <c r="A70" s="12"/>
      <c r="B70" s="87"/>
      <c r="C70" s="318"/>
      <c r="D70" s="35"/>
      <c r="E70" s="42"/>
      <c r="F70" s="38"/>
      <c r="G70" s="35"/>
      <c r="H70" s="35"/>
      <c r="I70" s="35"/>
      <c r="J70" s="38"/>
      <c r="K70" s="42"/>
      <c r="L70" s="38"/>
      <c r="M70" s="298" t="s">
        <v>79</v>
      </c>
      <c r="N70" s="295"/>
      <c r="O70" s="71"/>
      <c r="P70" s="71"/>
      <c r="Q70" s="296"/>
      <c r="R70" s="297"/>
      <c r="S70" s="297"/>
      <c r="T70" s="297"/>
      <c r="U70" s="297"/>
      <c r="V70" s="305"/>
      <c r="W70" s="305"/>
      <c r="X70" s="87"/>
      <c r="Y70" s="87"/>
      <c r="Z70" s="87"/>
      <c r="AA70" s="87"/>
      <c r="AB70" s="94"/>
      <c r="AC70" s="304"/>
      <c r="AD70" s="76"/>
      <c r="AE70" s="26"/>
      <c r="AF70" s="26"/>
      <c r="AG70" s="26"/>
      <c r="AH70" s="26"/>
      <c r="AI70" s="26"/>
      <c r="AJ70" s="26"/>
      <c r="AK70" s="29"/>
      <c r="AL70" s="29"/>
      <c r="AM70" s="29"/>
      <c r="AN70" s="29"/>
      <c r="AO70" s="29"/>
      <c r="AP70" s="29"/>
      <c r="AQ70" s="29"/>
      <c r="AR70" s="9"/>
      <c r="AS70" s="9"/>
      <c r="AT70" s="9"/>
      <c r="AU70" s="9"/>
    </row>
    <row r="71" spans="1:47" ht="20.100000000000001" customHeight="1" thickBot="1" x14ac:dyDescent="0.3">
      <c r="A71" s="12"/>
      <c r="B71" s="87"/>
      <c r="C71" s="318"/>
      <c r="D71" s="35"/>
      <c r="E71" s="42"/>
      <c r="F71" s="38"/>
      <c r="G71" s="35"/>
      <c r="H71" s="35"/>
      <c r="I71" s="35"/>
      <c r="J71" s="38"/>
      <c r="K71" s="42"/>
      <c r="L71" s="38"/>
      <c r="M71" s="42"/>
      <c r="N71" s="46"/>
      <c r="O71" s="39"/>
      <c r="P71" s="39"/>
      <c r="Q71" s="85"/>
      <c r="R71" s="35"/>
      <c r="S71" s="35"/>
      <c r="T71" s="35"/>
      <c r="U71" s="35"/>
      <c r="V71" s="87"/>
      <c r="W71" s="87"/>
      <c r="X71" s="87"/>
      <c r="Y71" s="87"/>
      <c r="Z71" s="87"/>
      <c r="AA71" s="87"/>
      <c r="AB71" s="94"/>
      <c r="AC71" s="304"/>
      <c r="AD71" s="76"/>
      <c r="AE71" s="26"/>
      <c r="AF71" s="26"/>
      <c r="AG71" s="26"/>
      <c r="AH71" s="26"/>
      <c r="AI71" s="26"/>
      <c r="AJ71" s="26"/>
      <c r="AK71" s="29"/>
      <c r="AL71" s="29"/>
      <c r="AM71" s="29"/>
      <c r="AN71" s="29"/>
      <c r="AO71" s="29"/>
      <c r="AP71" s="29"/>
      <c r="AQ71" s="29"/>
      <c r="AR71" s="9"/>
      <c r="AS71" s="9"/>
      <c r="AT71" s="9"/>
      <c r="AU71" s="9"/>
    </row>
    <row r="72" spans="1:47" ht="20.100000000000001" customHeight="1" thickTop="1" x14ac:dyDescent="0.25">
      <c r="A72" s="12"/>
      <c r="B72" s="87"/>
      <c r="C72" s="319"/>
      <c r="D72" s="321"/>
      <c r="E72" s="321"/>
      <c r="F72" s="38"/>
      <c r="G72" s="208">
        <v>20</v>
      </c>
      <c r="H72" s="209"/>
      <c r="I72" s="210"/>
      <c r="J72" s="38"/>
      <c r="K72" s="202"/>
      <c r="L72" s="284">
        <f>CHOOSE(MATCH($G$73,{"bruxelles 12.5%";"bruxelles 12.5% ()";"wallonie 12.5%";"wallonie 6%";"flandre 10%";"flandre 5%";"flandre 10% ()";"flandre 5% ()"},0),$E$65,$G$65,$I$65,$K$65,$M$65,$O$65,$Q$65,$S$65)</f>
        <v>114049.317622</v>
      </c>
      <c r="M72" s="285"/>
      <c r="N72" s="286"/>
      <c r="O72" s="214"/>
      <c r="P72" s="39"/>
      <c r="Q72" s="216">
        <f>(L72-(U31*80%))/U11</f>
        <v>1.1404931762200001</v>
      </c>
      <c r="R72" s="86"/>
      <c r="S72" s="84"/>
      <c r="T72" s="37"/>
      <c r="U72" s="36"/>
      <c r="V72" s="87"/>
      <c r="W72" s="87"/>
      <c r="X72" s="87"/>
      <c r="Y72" s="306"/>
      <c r="Z72" s="307"/>
      <c r="AA72" s="307"/>
      <c r="AB72" s="94"/>
      <c r="AC72" s="304"/>
      <c r="AD72" s="76"/>
      <c r="AE72" s="26"/>
      <c r="AF72" s="26"/>
      <c r="AG72" s="26"/>
      <c r="AH72" s="26"/>
      <c r="AI72" s="26"/>
      <c r="AJ72" s="26"/>
      <c r="AK72" s="29"/>
      <c r="AL72" s="29"/>
      <c r="AM72" s="29"/>
      <c r="AN72" s="29"/>
      <c r="AO72" s="29"/>
      <c r="AP72" s="29"/>
      <c r="AQ72" s="29"/>
      <c r="AR72" s="9"/>
      <c r="AS72" s="9"/>
      <c r="AT72" s="9"/>
      <c r="AU72" s="9"/>
    </row>
    <row r="73" spans="1:47" ht="20.100000000000001" customHeight="1" thickBot="1" x14ac:dyDescent="0.3">
      <c r="A73" s="12"/>
      <c r="B73" s="87"/>
      <c r="C73" s="318"/>
      <c r="D73" s="321"/>
      <c r="E73" s="321"/>
      <c r="F73" s="38"/>
      <c r="G73" s="203" t="s">
        <v>51</v>
      </c>
      <c r="H73" s="204"/>
      <c r="I73" s="205"/>
      <c r="J73" s="38"/>
      <c r="K73" s="322"/>
      <c r="L73" s="287"/>
      <c r="M73" s="288"/>
      <c r="N73" s="289"/>
      <c r="O73" s="215"/>
      <c r="P73" s="39"/>
      <c r="Q73" s="217"/>
      <c r="R73" s="35"/>
      <c r="S73" s="84"/>
      <c r="T73" s="37"/>
      <c r="U73" s="36"/>
      <c r="V73" s="87"/>
      <c r="W73" s="87"/>
      <c r="X73" s="87"/>
      <c r="Y73" s="307"/>
      <c r="Z73" s="307"/>
      <c r="AA73" s="307"/>
      <c r="AB73" s="94"/>
      <c r="AC73" s="304"/>
      <c r="AD73" s="76"/>
      <c r="AE73" s="26"/>
      <c r="AF73" s="26"/>
      <c r="AG73" s="26"/>
      <c r="AH73" s="26"/>
      <c r="AI73" s="26"/>
      <c r="AJ73" s="26"/>
      <c r="AK73" s="29"/>
      <c r="AL73" s="29"/>
      <c r="AM73" s="29"/>
      <c r="AN73" s="29"/>
      <c r="AO73" s="29"/>
      <c r="AP73" s="29"/>
      <c r="AQ73" s="29"/>
      <c r="AR73" s="9"/>
      <c r="AS73" s="9"/>
      <c r="AT73" s="9"/>
      <c r="AU73" s="9"/>
    </row>
    <row r="74" spans="1:47" ht="20.100000000000001" customHeight="1" thickTop="1" x14ac:dyDescent="0.25">
      <c r="A74" s="12"/>
      <c r="B74" s="87"/>
      <c r="C74" s="320"/>
      <c r="D74" s="200"/>
      <c r="E74" s="40"/>
      <c r="F74" s="47"/>
      <c r="G74" s="40"/>
      <c r="H74" s="47"/>
      <c r="I74" s="35"/>
      <c r="J74" s="35"/>
      <c r="K74" s="40"/>
      <c r="L74" s="47"/>
      <c r="M74" s="40"/>
      <c r="N74" s="35"/>
      <c r="O74" s="35"/>
      <c r="P74" s="46"/>
      <c r="Q74" s="85"/>
      <c r="R74" s="72"/>
      <c r="S74" s="213"/>
      <c r="T74" s="211"/>
      <c r="U74" s="211"/>
      <c r="V74" s="308"/>
      <c r="W74" s="309"/>
      <c r="X74" s="304"/>
      <c r="Y74" s="309"/>
      <c r="Z74" s="304"/>
      <c r="AA74" s="304"/>
      <c r="AB74" s="94"/>
      <c r="AC74" s="304"/>
      <c r="AD74" s="76"/>
      <c r="AE74" s="26"/>
      <c r="AF74" s="26"/>
      <c r="AG74" s="26"/>
      <c r="AH74" s="26"/>
      <c r="AI74" s="26"/>
      <c r="AJ74" s="26"/>
      <c r="AK74" s="29"/>
      <c r="AL74" s="29"/>
      <c r="AM74" s="29"/>
      <c r="AN74" s="29"/>
      <c r="AO74" s="29"/>
      <c r="AP74" s="29"/>
      <c r="AQ74" s="29"/>
      <c r="AR74" s="9"/>
      <c r="AS74" s="9"/>
      <c r="AT74" s="9"/>
      <c r="AU74" s="9"/>
    </row>
    <row r="75" spans="1:47" ht="20.100000000000001" customHeight="1" x14ac:dyDescent="0.25">
      <c r="A75" s="12"/>
      <c r="B75" s="87"/>
      <c r="C75" s="320"/>
      <c r="D75" s="200"/>
      <c r="E75" s="40"/>
      <c r="F75" s="47"/>
      <c r="G75" s="40"/>
      <c r="H75" s="47"/>
      <c r="I75" s="35"/>
      <c r="J75" s="35"/>
      <c r="K75" s="40"/>
      <c r="L75" s="47"/>
      <c r="M75" s="40"/>
      <c r="N75" s="35"/>
      <c r="O75" s="35"/>
      <c r="P75" s="46"/>
      <c r="Q75" s="206"/>
      <c r="R75" s="72"/>
      <c r="S75" s="207"/>
      <c r="T75" s="199"/>
      <c r="U75" s="199"/>
      <c r="V75" s="308"/>
      <c r="W75" s="309"/>
      <c r="X75" s="304"/>
      <c r="Y75" s="309"/>
      <c r="Z75" s="304"/>
      <c r="AA75" s="304"/>
      <c r="AB75" s="94"/>
      <c r="AC75" s="304"/>
      <c r="AD75" s="76"/>
      <c r="AE75" s="26"/>
      <c r="AF75" s="26"/>
      <c r="AG75" s="26"/>
      <c r="AH75" s="26"/>
      <c r="AI75" s="26"/>
      <c r="AJ75" s="26"/>
      <c r="AK75" s="29"/>
      <c r="AL75" s="29"/>
      <c r="AM75" s="29"/>
      <c r="AN75" s="29"/>
      <c r="AO75" s="29"/>
      <c r="AP75" s="29"/>
      <c r="AQ75" s="29"/>
      <c r="AR75" s="9"/>
      <c r="AS75" s="9"/>
      <c r="AT75" s="9"/>
      <c r="AU75" s="9"/>
    </row>
    <row r="76" spans="1:47" ht="20.100000000000001" customHeight="1" x14ac:dyDescent="0.25">
      <c r="A76" s="12"/>
      <c r="B76" s="87"/>
      <c r="C76" s="320"/>
      <c r="D76" s="200"/>
      <c r="E76" s="40"/>
      <c r="F76" s="47"/>
      <c r="G76" s="40"/>
      <c r="H76" s="47"/>
      <c r="I76" s="297"/>
      <c r="J76" s="297"/>
      <c r="K76" s="299"/>
      <c r="L76" s="300"/>
      <c r="M76" s="301" t="s">
        <v>82</v>
      </c>
      <c r="N76" s="297"/>
      <c r="O76" s="297"/>
      <c r="P76" s="295"/>
      <c r="Q76" s="296"/>
      <c r="R76" s="201"/>
      <c r="S76" s="31" t="s">
        <v>83</v>
      </c>
      <c r="T76" s="201"/>
      <c r="U76" s="297"/>
      <c r="V76" s="308"/>
      <c r="W76" s="309"/>
      <c r="X76" s="304"/>
      <c r="Y76" s="309"/>
      <c r="Z76" s="304"/>
      <c r="AA76" s="304"/>
      <c r="AB76" s="94"/>
      <c r="AC76" s="304"/>
      <c r="AD76" s="76"/>
      <c r="AE76" s="26"/>
      <c r="AF76" s="26"/>
      <c r="AG76" s="26"/>
      <c r="AH76" s="26"/>
      <c r="AI76" s="26"/>
      <c r="AJ76" s="26"/>
      <c r="AK76" s="29"/>
      <c r="AL76" s="29"/>
      <c r="AM76" s="29"/>
      <c r="AN76" s="29"/>
      <c r="AO76" s="29"/>
      <c r="AP76" s="29"/>
      <c r="AQ76" s="29"/>
      <c r="AR76" s="9"/>
      <c r="AS76" s="9"/>
      <c r="AT76" s="9"/>
      <c r="AU76" s="9"/>
    </row>
    <row r="77" spans="1:47" ht="20.100000000000001" customHeight="1" x14ac:dyDescent="0.25">
      <c r="A77" s="12"/>
      <c r="B77" s="87"/>
      <c r="C77" s="320"/>
      <c r="D77" s="200"/>
      <c r="E77" s="40"/>
      <c r="F77" s="47"/>
      <c r="G77" s="40"/>
      <c r="H77" s="47"/>
      <c r="I77" s="297"/>
      <c r="J77" s="297"/>
      <c r="K77" s="301"/>
      <c r="L77" s="300"/>
      <c r="M77" s="301"/>
      <c r="N77" s="297"/>
      <c r="O77" s="297"/>
      <c r="P77" s="295"/>
      <c r="Q77" s="296"/>
      <c r="R77" s="201"/>
      <c r="S77" s="31" t="s">
        <v>84</v>
      </c>
      <c r="T77" s="201"/>
      <c r="U77" s="297"/>
      <c r="V77" s="308"/>
      <c r="W77" s="309"/>
      <c r="X77" s="304"/>
      <c r="Y77" s="309"/>
      <c r="Z77" s="304"/>
      <c r="AA77" s="304"/>
      <c r="AB77" s="94"/>
      <c r="AC77" s="304"/>
      <c r="AD77" s="76"/>
      <c r="AE77" s="26"/>
      <c r="AF77" s="26"/>
      <c r="AG77" s="26"/>
      <c r="AH77" s="26"/>
      <c r="AI77" s="26"/>
      <c r="AJ77" s="26"/>
      <c r="AK77" s="29"/>
      <c r="AL77" s="29"/>
      <c r="AM77" s="29"/>
      <c r="AN77" s="29"/>
      <c r="AO77" s="29"/>
      <c r="AP77" s="29"/>
      <c r="AQ77" s="29"/>
      <c r="AR77" s="9"/>
      <c r="AS77" s="9"/>
      <c r="AT77" s="9"/>
      <c r="AU77" s="9"/>
    </row>
    <row r="78" spans="1:47" ht="20.100000000000001" customHeight="1" x14ac:dyDescent="0.25">
      <c r="A78" s="12"/>
      <c r="B78" s="87"/>
      <c r="C78" s="320"/>
      <c r="D78" s="200"/>
      <c r="E78" s="40"/>
      <c r="F78" s="47"/>
      <c r="G78" s="40"/>
      <c r="H78" s="47"/>
      <c r="I78" s="297"/>
      <c r="J78" s="297"/>
      <c r="K78" s="301"/>
      <c r="L78" s="300"/>
      <c r="M78" s="301"/>
      <c r="N78" s="297"/>
      <c r="O78" s="297"/>
      <c r="P78" s="295"/>
      <c r="Q78" s="296"/>
      <c r="R78" s="201"/>
      <c r="S78" s="302" t="s">
        <v>85</v>
      </c>
      <c r="T78" s="212"/>
      <c r="U78" s="212"/>
      <c r="V78" s="308"/>
      <c r="W78" s="309"/>
      <c r="X78" s="304"/>
      <c r="Y78" s="309"/>
      <c r="Z78" s="304"/>
      <c r="AA78" s="304"/>
      <c r="AB78" s="94"/>
      <c r="AC78" s="304"/>
      <c r="AD78" s="76"/>
      <c r="AE78" s="26"/>
      <c r="AF78" s="26"/>
      <c r="AG78" s="26"/>
      <c r="AH78" s="26"/>
      <c r="AI78" s="26"/>
      <c r="AJ78" s="26"/>
      <c r="AK78" s="29"/>
      <c r="AL78" s="29"/>
      <c r="AM78" s="29"/>
      <c r="AN78" s="29"/>
      <c r="AO78" s="29"/>
      <c r="AP78" s="29"/>
      <c r="AQ78" s="29"/>
      <c r="AR78" s="9"/>
      <c r="AS78" s="9"/>
      <c r="AT78" s="9"/>
      <c r="AU78" s="9"/>
    </row>
    <row r="79" spans="1:47" ht="20.100000000000001" customHeight="1" x14ac:dyDescent="0.25">
      <c r="A79" s="12"/>
      <c r="B79" s="87"/>
      <c r="C79" s="320"/>
      <c r="D79" s="200"/>
      <c r="E79" s="40"/>
      <c r="F79" s="47"/>
      <c r="G79" s="40"/>
      <c r="H79" s="47"/>
      <c r="I79" s="297"/>
      <c r="J79" s="297"/>
      <c r="K79" s="301"/>
      <c r="L79" s="300"/>
      <c r="M79" s="301"/>
      <c r="N79" s="297"/>
      <c r="O79" s="297"/>
      <c r="P79" s="295"/>
      <c r="Q79" s="296"/>
      <c r="R79" s="201"/>
      <c r="S79" s="296"/>
      <c r="T79" s="200"/>
      <c r="U79" s="200"/>
      <c r="V79" s="308"/>
      <c r="W79" s="309"/>
      <c r="X79" s="304"/>
      <c r="Y79" s="309"/>
      <c r="Z79" s="304"/>
      <c r="AA79" s="304"/>
      <c r="AB79" s="94"/>
      <c r="AC79" s="304"/>
      <c r="AD79" s="76"/>
      <c r="AE79" s="26"/>
      <c r="AF79" s="26"/>
      <c r="AG79" s="26"/>
      <c r="AH79" s="26"/>
      <c r="AI79" s="26"/>
      <c r="AJ79" s="26"/>
      <c r="AK79" s="29"/>
      <c r="AL79" s="29"/>
      <c r="AM79" s="29"/>
      <c r="AN79" s="29"/>
      <c r="AO79" s="29"/>
      <c r="AP79" s="29"/>
      <c r="AQ79" s="29"/>
      <c r="AR79" s="9"/>
      <c r="AS79" s="9"/>
      <c r="AT79" s="9"/>
      <c r="AU79" s="9"/>
    </row>
    <row r="80" spans="1:47" ht="20.100000000000001" customHeight="1" x14ac:dyDescent="0.25">
      <c r="A80" s="12"/>
      <c r="B80" s="87"/>
      <c r="C80" s="320"/>
      <c r="D80" s="200"/>
      <c r="E80" s="40"/>
      <c r="F80" s="47"/>
      <c r="G80" s="40"/>
      <c r="H80" s="47"/>
      <c r="I80" s="200"/>
      <c r="J80" s="297"/>
      <c r="K80" s="301"/>
      <c r="L80" s="300"/>
      <c r="M80" s="200" t="s">
        <v>77</v>
      </c>
      <c r="N80" s="297"/>
      <c r="O80" s="297"/>
      <c r="P80" s="295"/>
      <c r="Q80" s="296"/>
      <c r="R80" s="201"/>
      <c r="S80" s="296"/>
      <c r="T80" s="200"/>
      <c r="U80" s="200"/>
      <c r="V80" s="308"/>
      <c r="W80" s="309"/>
      <c r="X80" s="304"/>
      <c r="Y80" s="309"/>
      <c r="Z80" s="304"/>
      <c r="AA80" s="304"/>
      <c r="AB80" s="94"/>
      <c r="AC80" s="304"/>
      <c r="AD80" s="76"/>
      <c r="AE80" s="26"/>
      <c r="AF80" s="26"/>
      <c r="AG80" s="26"/>
      <c r="AH80" s="26"/>
      <c r="AI80" s="26"/>
      <c r="AJ80" s="26"/>
      <c r="AK80" s="29"/>
      <c r="AL80" s="29"/>
      <c r="AM80" s="29"/>
      <c r="AN80" s="29"/>
      <c r="AO80" s="29"/>
      <c r="AP80" s="29"/>
      <c r="AQ80" s="29"/>
      <c r="AR80" s="9"/>
      <c r="AS80" s="9"/>
      <c r="AT80" s="9"/>
      <c r="AU80" s="9"/>
    </row>
    <row r="81" spans="1:47" ht="20.100000000000001" customHeight="1" x14ac:dyDescent="0.25">
      <c r="A81" s="12"/>
      <c r="B81" s="87"/>
      <c r="C81" s="320"/>
      <c r="D81" s="200"/>
      <c r="E81" s="40"/>
      <c r="F81" s="47"/>
      <c r="G81" s="40"/>
      <c r="H81" s="47"/>
      <c r="I81" s="297"/>
      <c r="J81" s="297"/>
      <c r="K81" s="301"/>
      <c r="L81" s="300"/>
      <c r="M81" s="299" t="s">
        <v>81</v>
      </c>
      <c r="N81" s="297"/>
      <c r="O81" s="297"/>
      <c r="P81" s="295"/>
      <c r="Q81" s="296"/>
      <c r="R81" s="201"/>
      <c r="S81" s="296"/>
      <c r="T81" s="200"/>
      <c r="U81" s="200"/>
      <c r="V81" s="308"/>
      <c r="W81" s="309"/>
      <c r="X81" s="304"/>
      <c r="Y81" s="309"/>
      <c r="Z81" s="304"/>
      <c r="AA81" s="304"/>
      <c r="AB81" s="94"/>
      <c r="AC81" s="304"/>
      <c r="AD81" s="76"/>
      <c r="AE81" s="26"/>
      <c r="AF81" s="26"/>
      <c r="AG81" s="26"/>
      <c r="AH81" s="26"/>
      <c r="AI81" s="26"/>
      <c r="AJ81" s="26"/>
      <c r="AK81" s="29"/>
      <c r="AL81" s="29"/>
      <c r="AM81" s="29"/>
      <c r="AN81" s="29"/>
      <c r="AO81" s="29"/>
      <c r="AP81" s="29"/>
      <c r="AQ81" s="29"/>
      <c r="AR81" s="9"/>
      <c r="AS81" s="9"/>
      <c r="AT81" s="9"/>
      <c r="AU81" s="9"/>
    </row>
    <row r="82" spans="1:47" ht="20.100000000000001" customHeight="1" x14ac:dyDescent="0.25">
      <c r="A82" s="12"/>
      <c r="B82" s="87"/>
      <c r="C82" s="320"/>
      <c r="D82" s="200"/>
      <c r="E82" s="40"/>
      <c r="F82" s="47"/>
      <c r="G82" s="40"/>
      <c r="H82" s="47"/>
      <c r="I82" s="297"/>
      <c r="J82" s="297"/>
      <c r="K82" s="301"/>
      <c r="L82" s="300"/>
      <c r="M82" s="299" t="s">
        <v>78</v>
      </c>
      <c r="N82" s="297"/>
      <c r="O82" s="297"/>
      <c r="P82" s="295"/>
      <c r="Q82" s="296"/>
      <c r="R82" s="201"/>
      <c r="S82" s="296"/>
      <c r="T82" s="200"/>
      <c r="U82" s="200"/>
      <c r="V82" s="308"/>
      <c r="W82" s="309"/>
      <c r="X82" s="304"/>
      <c r="Y82" s="309"/>
      <c r="Z82" s="304"/>
      <c r="AA82" s="304"/>
      <c r="AB82" s="94"/>
      <c r="AC82" s="304"/>
      <c r="AD82" s="76"/>
      <c r="AE82" s="26"/>
      <c r="AF82" s="26"/>
      <c r="AG82" s="26"/>
      <c r="AH82" s="26"/>
      <c r="AI82" s="26"/>
      <c r="AJ82" s="26"/>
      <c r="AK82" s="29"/>
      <c r="AL82" s="29"/>
      <c r="AM82" s="29"/>
      <c r="AN82" s="29"/>
      <c r="AO82" s="29"/>
      <c r="AP82" s="29"/>
      <c r="AQ82" s="29"/>
      <c r="AR82" s="9"/>
      <c r="AS82" s="9"/>
      <c r="AT82" s="9"/>
      <c r="AU82" s="9"/>
    </row>
    <row r="83" spans="1:47" s="79" customFormat="1" ht="20.100000000000001" customHeight="1" x14ac:dyDescent="0.25">
      <c r="B83" s="67"/>
      <c r="C83" s="67"/>
      <c r="D83" s="290"/>
      <c r="E83" s="290"/>
      <c r="F83" s="291"/>
      <c r="G83" s="291"/>
      <c r="H83" s="291"/>
      <c r="I83" s="32"/>
      <c r="J83" s="33"/>
      <c r="K83" s="33"/>
      <c r="L83" s="41"/>
      <c r="M83" s="33"/>
      <c r="N83" s="41"/>
      <c r="O83" s="48"/>
      <c r="P83" s="32"/>
      <c r="Q83" s="292"/>
      <c r="R83" s="41"/>
      <c r="S83" s="293"/>
      <c r="T83" s="293"/>
      <c r="U83" s="293"/>
      <c r="V83" s="67"/>
      <c r="W83" s="310"/>
      <c r="X83" s="67"/>
      <c r="Y83" s="67"/>
      <c r="Z83" s="67"/>
      <c r="AA83" s="67"/>
      <c r="AB83" s="67"/>
      <c r="AC83" s="67"/>
      <c r="AD83" s="76"/>
      <c r="AE83" s="76"/>
      <c r="AF83" s="76"/>
      <c r="AG83" s="76"/>
      <c r="AH83" s="76"/>
      <c r="AI83" s="76"/>
      <c r="AJ83" s="76"/>
    </row>
    <row r="84" spans="1:47" s="79" customFormat="1" ht="20.100000000000001" customHeight="1" x14ac:dyDescent="0.25">
      <c r="B84" s="67"/>
      <c r="C84" s="336"/>
      <c r="D84" s="83"/>
      <c r="E84" s="338"/>
      <c r="F84" s="49"/>
      <c r="G84" s="49"/>
      <c r="H84" s="49"/>
      <c r="I84" s="49"/>
      <c r="J84" s="49"/>
      <c r="K84" s="49"/>
      <c r="L84" s="83"/>
      <c r="M84" s="67"/>
      <c r="N84" s="83"/>
      <c r="O84" s="312"/>
      <c r="P84" s="314"/>
      <c r="Q84" s="314"/>
      <c r="R84" s="314"/>
      <c r="S84" s="314"/>
      <c r="T84" s="314"/>
      <c r="U84" s="314"/>
      <c r="V84" s="67"/>
      <c r="W84" s="67"/>
      <c r="X84" s="67"/>
      <c r="Y84" s="311"/>
      <c r="Z84" s="312"/>
      <c r="AA84" s="312"/>
      <c r="AB84" s="67"/>
      <c r="AC84" s="67"/>
      <c r="AD84" s="76"/>
      <c r="AE84" s="76"/>
      <c r="AF84" s="76"/>
      <c r="AG84" s="76"/>
      <c r="AH84" s="76"/>
      <c r="AI84" s="76"/>
      <c r="AJ84" s="76"/>
    </row>
    <row r="85" spans="1:47" s="79" customFormat="1" ht="20.100000000000001" customHeight="1" x14ac:dyDescent="0.25">
      <c r="B85" s="67"/>
      <c r="C85" s="337"/>
      <c r="D85" s="83"/>
      <c r="E85" s="338"/>
      <c r="F85" s="49"/>
      <c r="G85" s="49"/>
      <c r="H85" s="49"/>
      <c r="I85" s="49"/>
      <c r="J85" s="49"/>
      <c r="K85" s="49"/>
      <c r="L85" s="83"/>
      <c r="M85" s="67"/>
      <c r="N85" s="83"/>
      <c r="O85" s="312"/>
      <c r="P85" s="339"/>
      <c r="Q85" s="339"/>
      <c r="R85" s="339"/>
      <c r="S85" s="339"/>
      <c r="T85" s="339"/>
      <c r="U85" s="339"/>
      <c r="V85" s="67"/>
      <c r="W85" s="67"/>
      <c r="X85" s="313"/>
      <c r="Y85" s="314"/>
      <c r="Z85" s="314"/>
      <c r="AA85" s="314"/>
      <c r="AB85" s="314"/>
      <c r="AC85" s="67"/>
      <c r="AD85" s="76"/>
      <c r="AE85" s="76"/>
      <c r="AF85" s="76"/>
      <c r="AG85" s="76"/>
      <c r="AH85" s="76"/>
      <c r="AI85" s="76"/>
      <c r="AJ85" s="76"/>
    </row>
    <row r="86" spans="1:47" s="79" customFormat="1" ht="20.100000000000001" customHeight="1" x14ac:dyDescent="0.25">
      <c r="C86" s="323"/>
      <c r="D86" s="76"/>
      <c r="E86" s="4" t="s">
        <v>60</v>
      </c>
      <c r="F86" s="4"/>
      <c r="G86" s="4" t="s">
        <v>36</v>
      </c>
      <c r="H86" s="4"/>
      <c r="I86" s="4" t="s">
        <v>76</v>
      </c>
      <c r="J86" s="4"/>
      <c r="K86" s="4" t="s">
        <v>13</v>
      </c>
      <c r="O86" s="4" t="s">
        <v>60</v>
      </c>
      <c r="P86" s="76"/>
      <c r="Q86" s="4" t="s">
        <v>36</v>
      </c>
      <c r="R86" s="76"/>
      <c r="S86" s="4" t="s">
        <v>76</v>
      </c>
      <c r="T86" s="25"/>
      <c r="U86" s="4" t="s">
        <v>13</v>
      </c>
      <c r="V86" s="67"/>
      <c r="W86" s="315"/>
      <c r="X86" s="316"/>
      <c r="Y86" s="49" t="s">
        <v>36</v>
      </c>
      <c r="Z86" s="317"/>
      <c r="AA86" s="49" t="s">
        <v>13</v>
      </c>
      <c r="AB86" s="67"/>
      <c r="AC86" s="67"/>
      <c r="AD86" s="76"/>
      <c r="AE86" s="76"/>
      <c r="AF86" s="76"/>
      <c r="AG86" s="76"/>
      <c r="AH86" s="76"/>
      <c r="AI86" s="76"/>
      <c r="AJ86" s="76"/>
    </row>
    <row r="87" spans="1:47" s="79" customFormat="1" ht="20.100000000000001" customHeight="1" x14ac:dyDescent="0.25">
      <c r="F87" s="5"/>
      <c r="G87" s="5"/>
      <c r="H87" s="5"/>
      <c r="I87" s="5"/>
      <c r="J87" s="4"/>
      <c r="K87" s="5"/>
      <c r="O87" s="4"/>
      <c r="P87" s="76"/>
      <c r="Q87" s="4"/>
      <c r="R87" s="76"/>
      <c r="U87" s="77"/>
      <c r="AA87" s="4"/>
      <c r="AD87" s="76"/>
      <c r="AE87" s="76"/>
      <c r="AF87" s="76"/>
      <c r="AG87" s="76"/>
      <c r="AH87" s="76"/>
      <c r="AI87" s="76"/>
      <c r="AJ87" s="76"/>
    </row>
    <row r="88" spans="1:47" s="79" customFormat="1" ht="20.100000000000001" customHeight="1" x14ac:dyDescent="0.25">
      <c r="C88" s="259"/>
      <c r="D88" s="76"/>
      <c r="E88" s="56">
        <f>M43</f>
        <v>0</v>
      </c>
      <c r="F88" s="4"/>
      <c r="G88" s="56">
        <f>E88</f>
        <v>0</v>
      </c>
      <c r="H88" s="56"/>
      <c r="I88" s="56">
        <f>G88</f>
        <v>0</v>
      </c>
      <c r="J88" s="56"/>
      <c r="K88" s="56">
        <f>E88</f>
        <v>0</v>
      </c>
      <c r="O88" s="56">
        <f>E88</f>
        <v>0</v>
      </c>
      <c r="P88" s="56"/>
      <c r="Q88" s="56">
        <f>E88</f>
        <v>0</v>
      </c>
      <c r="R88" s="77"/>
      <c r="S88" s="56">
        <f>Q88</f>
        <v>0</v>
      </c>
      <c r="U88" s="25">
        <f>E88</f>
        <v>0</v>
      </c>
      <c r="V88" s="77"/>
      <c r="W88" s="56"/>
      <c r="Y88" s="56">
        <f>E88</f>
        <v>0</v>
      </c>
      <c r="AA88" s="56">
        <f>E88</f>
        <v>0</v>
      </c>
      <c r="AD88" s="76"/>
      <c r="AE88" s="76"/>
      <c r="AF88" s="76"/>
      <c r="AG88" s="76"/>
      <c r="AH88" s="76"/>
      <c r="AI88" s="76"/>
      <c r="AJ88" s="76"/>
    </row>
    <row r="89" spans="1:47" s="79" customFormat="1" ht="20.100000000000001" customHeight="1" x14ac:dyDescent="0.25">
      <c r="C89" s="259"/>
      <c r="D89" s="76"/>
      <c r="E89" s="56">
        <f>SUM(E39:E42,G39:G42,I39:I42)+E98-E41-G41-I41</f>
        <v>682.1381070123482</v>
      </c>
      <c r="F89" s="4"/>
      <c r="G89" s="28">
        <f>SUM(E39:E42,G39:G42)+G98-E41-G41</f>
        <v>697.74758592335513</v>
      </c>
      <c r="H89" s="4"/>
      <c r="I89" s="28">
        <f>SUM(G39:G42,I39:I42)+I98-G41-I41</f>
        <v>708.67098278342792</v>
      </c>
      <c r="J89" s="4"/>
      <c r="K89" s="28">
        <f>SUM(E39:E42,G39:G42)+K98-E41-G41</f>
        <v>725.8513811026678</v>
      </c>
      <c r="O89" s="28">
        <f>SUM(E39:E42,G39:G42)+O98-E41-G41</f>
        <v>697.14352559735016</v>
      </c>
      <c r="P89" s="76"/>
      <c r="Q89" s="28">
        <f>SUM(E39:E42,G39:G42)+Q98-E41-G41</f>
        <v>712.94463788212636</v>
      </c>
      <c r="R89" s="76"/>
      <c r="S89" s="28">
        <f>SUM(Q39:Q42,S39:S42)+S98-Q41-S41</f>
        <v>723.99970671506844</v>
      </c>
      <c r="U89" s="25">
        <f>SUM(E39:E42,G39:G42)+U98-E41-G41</f>
        <v>741.38323454975284</v>
      </c>
      <c r="V89" s="77"/>
      <c r="W89" s="56"/>
      <c r="Y89" s="28">
        <f>SUM(W39:W42,Y39:Y42)+Y98-W41-Y41</f>
        <v>697.74758592335513</v>
      </c>
      <c r="Z89" s="260"/>
      <c r="AA89" s="28">
        <f>SUM(U39:U42,W39:W42)+AA98-U41-W41</f>
        <v>725.8513811026678</v>
      </c>
      <c r="AD89" s="76"/>
      <c r="AE89" s="76"/>
      <c r="AF89" s="76"/>
      <c r="AG89" s="76"/>
      <c r="AH89" s="76"/>
      <c r="AI89" s="76"/>
      <c r="AJ89" s="76"/>
    </row>
    <row r="90" spans="1:47" s="79" customFormat="1" ht="20.100000000000001" customHeight="1" x14ac:dyDescent="0.25">
      <c r="C90" s="261"/>
      <c r="D90" s="76"/>
      <c r="E90" s="77" t="e">
        <f>E89/E88</f>
        <v>#DIV/0!</v>
      </c>
      <c r="F90" s="4"/>
      <c r="G90" s="266" t="e">
        <f>G89/E88</f>
        <v>#DIV/0!</v>
      </c>
      <c r="H90" s="4"/>
      <c r="I90" s="266" t="e">
        <f>I89/E88</f>
        <v>#DIV/0!</v>
      </c>
      <c r="J90" s="4"/>
      <c r="K90" s="266" t="e">
        <f>K89/E88</f>
        <v>#DIV/0!</v>
      </c>
      <c r="O90" s="266" t="e">
        <f>O89/E88</f>
        <v>#DIV/0!</v>
      </c>
      <c r="P90" s="76"/>
      <c r="Q90" s="266" t="e">
        <f>Q89/E88</f>
        <v>#DIV/0!</v>
      </c>
      <c r="R90" s="76"/>
      <c r="S90" s="266" t="e">
        <f>S89/E88</f>
        <v>#DIV/0!</v>
      </c>
      <c r="U90" s="77" t="e">
        <f>U89/E88</f>
        <v>#DIV/0!</v>
      </c>
      <c r="W90" s="56"/>
      <c r="Y90" s="266" t="e">
        <f>Y89/E88</f>
        <v>#DIV/0!</v>
      </c>
      <c r="Z90" s="25"/>
      <c r="AA90" s="266" t="e">
        <f>AA89/G88</f>
        <v>#DIV/0!</v>
      </c>
      <c r="AD90" s="76"/>
      <c r="AE90" s="76"/>
      <c r="AF90" s="76"/>
      <c r="AG90" s="76"/>
      <c r="AH90" s="76"/>
      <c r="AI90" s="76"/>
      <c r="AJ90" s="76"/>
    </row>
    <row r="91" spans="1:47" s="79" customFormat="1" ht="20.100000000000001" customHeight="1" x14ac:dyDescent="0.25">
      <c r="C91" s="231"/>
      <c r="D91" s="76"/>
      <c r="E91" s="25">
        <f>E88-E89</f>
        <v>-682.1381070123482</v>
      </c>
      <c r="F91" s="4"/>
      <c r="G91" s="28">
        <f>E88-G89</f>
        <v>-697.74758592335513</v>
      </c>
      <c r="H91" s="4"/>
      <c r="I91" s="28">
        <f>G88-I89</f>
        <v>-708.67098278342792</v>
      </c>
      <c r="J91" s="4"/>
      <c r="K91" s="28">
        <f>E88-K89</f>
        <v>-725.8513811026678</v>
      </c>
      <c r="O91" s="28">
        <f>E88-O89</f>
        <v>-697.14352559735016</v>
      </c>
      <c r="P91" s="76"/>
      <c r="Q91" s="28">
        <f>E88-Q89</f>
        <v>-712.94463788212636</v>
      </c>
      <c r="R91" s="76"/>
      <c r="S91" s="28">
        <f>E88-S89</f>
        <v>-723.99970671506844</v>
      </c>
      <c r="U91" s="25">
        <f>E88-U89</f>
        <v>-741.38323454975284</v>
      </c>
      <c r="V91" s="25"/>
      <c r="W91" s="76"/>
      <c r="Y91" s="257">
        <f>E88-Y89</f>
        <v>-697.74758592335513</v>
      </c>
      <c r="Z91" s="25"/>
      <c r="AA91" s="257">
        <f>E88-AA89</f>
        <v>-725.8513811026678</v>
      </c>
      <c r="AD91" s="76"/>
      <c r="AE91" s="76"/>
      <c r="AF91" s="76"/>
      <c r="AG91" s="76"/>
      <c r="AH91" s="76"/>
      <c r="AI91" s="76"/>
      <c r="AJ91" s="76"/>
    </row>
    <row r="92" spans="1:47" s="79" customFormat="1" ht="20.100000000000001" customHeight="1" x14ac:dyDescent="0.25">
      <c r="C92" s="261"/>
      <c r="D92" s="76"/>
      <c r="E92" s="77"/>
      <c r="F92" s="4"/>
      <c r="G92" s="4"/>
      <c r="H92" s="4"/>
      <c r="I92" s="4"/>
      <c r="J92" s="4"/>
      <c r="K92" s="4"/>
      <c r="O92" s="4"/>
      <c r="P92" s="76"/>
      <c r="Q92" s="4"/>
      <c r="R92" s="76"/>
      <c r="S92" s="4"/>
      <c r="U92" s="77"/>
      <c r="Z92" s="25"/>
      <c r="AA92" s="25"/>
      <c r="AD92" s="82" t="s">
        <v>56</v>
      </c>
      <c r="AE92" s="82" t="s">
        <v>60</v>
      </c>
      <c r="AF92" s="82" t="s">
        <v>36</v>
      </c>
      <c r="AG92" s="82" t="s">
        <v>76</v>
      </c>
      <c r="AH92" s="82" t="s">
        <v>13</v>
      </c>
      <c r="AI92" s="76"/>
    </row>
    <row r="93" spans="1:47" s="79" customFormat="1" ht="20.100000000000001" customHeight="1" x14ac:dyDescent="0.25">
      <c r="C93" s="262"/>
      <c r="D93" s="76"/>
      <c r="E93" s="77"/>
      <c r="F93" s="4"/>
      <c r="G93" s="4"/>
      <c r="H93" s="4"/>
      <c r="I93" s="4"/>
      <c r="J93" s="4"/>
      <c r="K93" s="4"/>
      <c r="O93" s="4"/>
      <c r="P93" s="76"/>
      <c r="Q93" s="4"/>
      <c r="R93" s="76"/>
      <c r="S93" s="4"/>
      <c r="U93" s="77"/>
      <c r="AD93" s="4">
        <v>10</v>
      </c>
      <c r="AE93" s="78">
        <v>3.5400000000000001E-2</v>
      </c>
      <c r="AF93" s="78">
        <v>3.7600000000000001E-2</v>
      </c>
      <c r="AG93" s="76"/>
      <c r="AH93" s="78">
        <v>3.95E-2</v>
      </c>
      <c r="AI93" s="56"/>
    </row>
    <row r="94" spans="1:47" s="79" customFormat="1" ht="20.100000000000001" customHeight="1" x14ac:dyDescent="0.25">
      <c r="C94" s="231"/>
      <c r="D94" s="76"/>
      <c r="E94" s="267">
        <f>G72</f>
        <v>20</v>
      </c>
      <c r="F94" s="4"/>
      <c r="G94" s="267">
        <f>E94</f>
        <v>20</v>
      </c>
      <c r="H94" s="4"/>
      <c r="I94" s="267">
        <f>G94</f>
        <v>20</v>
      </c>
      <c r="J94" s="4"/>
      <c r="K94" s="267">
        <f>E94</f>
        <v>20</v>
      </c>
      <c r="O94" s="267">
        <f>E94</f>
        <v>20</v>
      </c>
      <c r="P94" s="76"/>
      <c r="Q94" s="267">
        <f>E94</f>
        <v>20</v>
      </c>
      <c r="R94" s="76"/>
      <c r="S94" s="267">
        <f>E94</f>
        <v>20</v>
      </c>
      <c r="T94" s="25"/>
      <c r="U94" s="267">
        <f>E94</f>
        <v>20</v>
      </c>
      <c r="W94" s="258"/>
      <c r="X94" s="25"/>
      <c r="Y94" s="267">
        <f>E94</f>
        <v>20</v>
      </c>
      <c r="Z94" s="56"/>
      <c r="AA94" s="267">
        <f>E94</f>
        <v>20</v>
      </c>
      <c r="AD94" s="4">
        <v>15</v>
      </c>
      <c r="AE94" s="78">
        <v>3.73E-2</v>
      </c>
      <c r="AF94" s="78">
        <v>3.9699999999999999E-2</v>
      </c>
      <c r="AG94" s="78">
        <v>4.1200000000000001E-2</v>
      </c>
      <c r="AH94" s="78">
        <v>4.3099999999999999E-2</v>
      </c>
      <c r="AI94" s="25"/>
    </row>
    <row r="95" spans="1:47" s="79" customFormat="1" ht="20.100000000000001" customHeight="1" x14ac:dyDescent="0.25">
      <c r="C95" s="231"/>
      <c r="D95" s="76"/>
      <c r="E95" s="266">
        <f>INDEX($AE$93:$AH$97,MATCH($G$72*1,$AD$93:$AD$97,0),MATCH($E$86:$O$86,$AE$92:$AH$92,0))</f>
        <v>3.85E-2</v>
      </c>
      <c r="F95" s="266"/>
      <c r="G95" s="266">
        <f>INDEX($AE$93:$AH$97,MATCH($G$72*1,$AD$93:$AD$97,0),MATCH($E$86:$O$86,$AE$92:$AH$92,0))</f>
        <v>4.1099999999999998E-2</v>
      </c>
      <c r="H95" s="266"/>
      <c r="I95" s="266">
        <f>INDEX($AE$93:$AH$97,MATCH($G$72*1,$AD$93:$AD$97,0),MATCH($E$86:$O$86,$AE$92:$AH$92,0))</f>
        <v>4.2900000000000001E-2</v>
      </c>
      <c r="J95" s="266"/>
      <c r="K95" s="266">
        <f>INDEX($AE$93:$AH$97,MATCH($G$72*1,$AD$93:$AD$97,0),MATCH($E$86:$K$86,$AE$92:$AH$92,0))</f>
        <v>4.5699999999999998E-2</v>
      </c>
      <c r="O95" s="266">
        <f>INDEX($AE$100:$AH$104,MATCH($G$72*1,$AD$100:$AD$104,0),MATCH($K$86:$O$86,$AE$99:$AH$99,0))</f>
        <v>4.1000000000000002E-2</v>
      </c>
      <c r="P95" s="266"/>
      <c r="Q95" s="266">
        <f>INDEX($AE$100:$AH$104,MATCH($G$72*1,$AD$100:$AD$104,0),MATCH($K$86:$Q$86,$AE$99:$AH$99,0))</f>
        <v>4.36E-2</v>
      </c>
      <c r="R95" s="266"/>
      <c r="S95" s="266">
        <f>INDEX($AE$100:$AH$104,MATCH($G$72*1,$AD$100:$AD$104,0),MATCH($K$86:$S$86,$AE$99:$AH$99,0))</f>
        <v>4.5400000000000003E-2</v>
      </c>
      <c r="U95" s="266">
        <f>INDEX($AE$100:$AH$104,MATCH($G$72*1,$AD$100:$AD$104,0),MATCH($K$86:$U$86,$AE$99:$AH$99,0))</f>
        <v>4.82E-2</v>
      </c>
      <c r="Y95" s="266">
        <f>INDEX($AE$93:$AH$97,MATCH($G$72*1,$AD$93:$AD$97,0),MATCH($E$86:$Y$86,$AE$92:$AH$92,0))</f>
        <v>4.1099999999999998E-2</v>
      </c>
      <c r="Z95" s="266"/>
      <c r="AA95" s="266">
        <f>INDEX($AE$93:$AH$97,MATCH($G$72*1,$AD$93:$AD$97,0),MATCH($E$86:$AA$86,$AE$92:$AH$92,0))</f>
        <v>4.5699999999999998E-2</v>
      </c>
      <c r="AD95" s="4">
        <v>20</v>
      </c>
      <c r="AE95" s="78">
        <v>3.85E-2</v>
      </c>
      <c r="AF95" s="78">
        <v>4.1099999999999998E-2</v>
      </c>
      <c r="AG95" s="78">
        <v>4.2900000000000001E-2</v>
      </c>
      <c r="AH95" s="78">
        <v>4.5699999999999998E-2</v>
      </c>
      <c r="AI95" s="77"/>
    </row>
    <row r="96" spans="1:47" s="79" customFormat="1" ht="20.100000000000001" customHeight="1" x14ac:dyDescent="0.25">
      <c r="C96" s="231"/>
      <c r="D96" s="76"/>
      <c r="E96" s="4">
        <f>E94*12</f>
        <v>240</v>
      </c>
      <c r="F96" s="4"/>
      <c r="G96" s="4">
        <f>G94*12</f>
        <v>240</v>
      </c>
      <c r="H96" s="4"/>
      <c r="I96" s="4">
        <f>I94*12</f>
        <v>240</v>
      </c>
      <c r="J96" s="4"/>
      <c r="K96" s="4">
        <f>K94*12</f>
        <v>240</v>
      </c>
      <c r="O96" s="4">
        <f>O94*12</f>
        <v>240</v>
      </c>
      <c r="P96" s="76"/>
      <c r="Q96" s="4">
        <f>Q94*12</f>
        <v>240</v>
      </c>
      <c r="R96" s="76"/>
      <c r="S96" s="4">
        <f>S94*12</f>
        <v>240</v>
      </c>
      <c r="U96" s="4">
        <f>U94*12</f>
        <v>240</v>
      </c>
      <c r="Y96" s="4">
        <f>Y94*12</f>
        <v>240</v>
      </c>
      <c r="AA96" s="4">
        <f>AA94*12</f>
        <v>240</v>
      </c>
      <c r="AD96" s="4">
        <v>25</v>
      </c>
      <c r="AE96" s="78">
        <v>3.9600000000000003E-2</v>
      </c>
      <c r="AF96" s="78">
        <v>4.2099999999999999E-2</v>
      </c>
      <c r="AG96" s="78">
        <v>4.4400000000000002E-2</v>
      </c>
      <c r="AH96" s="78">
        <v>4.7800000000000002E-2</v>
      </c>
      <c r="AI96" s="25"/>
    </row>
    <row r="97" spans="2:47" s="79" customFormat="1" ht="20.100000000000001" customHeight="1" x14ac:dyDescent="0.25">
      <c r="C97" s="231"/>
      <c r="D97" s="76"/>
      <c r="E97" s="268">
        <f>NOMINAL(E95,12)/12</f>
        <v>3.1530742084739938E-3</v>
      </c>
      <c r="F97" s="4"/>
      <c r="G97" s="268">
        <f>NOMINAL(G95,12)/12</f>
        <v>3.3621265190633132E-3</v>
      </c>
      <c r="H97" s="4"/>
      <c r="I97" s="268">
        <f>NOMINAL(I95,12)/12</f>
        <v>3.5065748777713956E-3</v>
      </c>
      <c r="J97" s="4"/>
      <c r="K97" s="268">
        <f>NOMINAL(K95,12)/12</f>
        <v>3.7308187111868563E-3</v>
      </c>
      <c r="O97" s="268">
        <f>NOMINAL(O95,12)/12</f>
        <v>3.3540948994528197E-3</v>
      </c>
      <c r="P97" s="76"/>
      <c r="Q97" s="268">
        <f>NOMINAL(Q95,12)/12</f>
        <v>3.5626875279843873E-3</v>
      </c>
      <c r="R97" s="76"/>
      <c r="S97" s="268">
        <f>NOMINAL(S95,12)/12</f>
        <v>3.7068189305531352E-3</v>
      </c>
      <c r="U97" s="268">
        <f>NOMINAL(U95,12)/12</f>
        <v>3.9305717973199261E-3</v>
      </c>
      <c r="Y97" s="268">
        <f>NOMINAL(Y95,12)/12</f>
        <v>3.3621265190633132E-3</v>
      </c>
      <c r="AA97" s="268">
        <f>NOMINAL(AA95,12)/12</f>
        <v>3.7308187111868563E-3</v>
      </c>
      <c r="AD97" s="4">
        <v>30</v>
      </c>
      <c r="AE97" s="76"/>
      <c r="AF97" s="76"/>
      <c r="AG97" s="76"/>
      <c r="AH97" s="78">
        <v>5.2600000000000001E-2</v>
      </c>
      <c r="AI97" s="82"/>
    </row>
    <row r="98" spans="2:47" s="79" customFormat="1" ht="20.100000000000001" customHeight="1" x14ac:dyDescent="0.25">
      <c r="C98" s="231"/>
      <c r="D98" s="76"/>
      <c r="E98" s="28">
        <f>-PMT(E95/12,G72*12,L72,1)</f>
        <v>682.1381070123482</v>
      </c>
      <c r="F98" s="4"/>
      <c r="G98" s="28">
        <f>-PMT(G95/12,G72*12,L72,1)</f>
        <v>697.74758592335513</v>
      </c>
      <c r="H98" s="4"/>
      <c r="I98" s="28">
        <f>-PMT(I95/12,G72*12,L72,1)</f>
        <v>708.67098278342792</v>
      </c>
      <c r="J98" s="4"/>
      <c r="K98" s="28">
        <f>-PMT(K95/12,G72*12,L72,1)</f>
        <v>725.8513811026678</v>
      </c>
      <c r="O98" s="28">
        <f>-PMT(O95/12,G72*12,L72,1)</f>
        <v>697.14352559735016</v>
      </c>
      <c r="P98" s="76"/>
      <c r="Q98" s="28">
        <f>-PMT(Q95/12,G72*12,L72,1)</f>
        <v>712.94463788212636</v>
      </c>
      <c r="R98" s="76"/>
      <c r="S98" s="28">
        <f>-PMT(S95/12,G72*12,L72,1)</f>
        <v>723.99970671506844</v>
      </c>
      <c r="T98" s="77"/>
      <c r="U98" s="28">
        <f>-PMT(U95/12,G72*12,L72,1)</f>
        <v>741.38323454975284</v>
      </c>
      <c r="W98" s="77"/>
      <c r="Y98" s="28">
        <f>-PMT(Y95/12,G72*12,L72,1)</f>
        <v>697.74758592335513</v>
      </c>
      <c r="AA98" s="28">
        <f>-PMT(AA95/12,G72*12,L72,1)</f>
        <v>725.8513811026678</v>
      </c>
      <c r="AD98" s="4"/>
      <c r="AE98" s="76"/>
      <c r="AF98" s="76"/>
      <c r="AG98" s="76"/>
      <c r="AH98" s="78"/>
      <c r="AI98" s="76"/>
    </row>
    <row r="99" spans="2:47" s="79" customFormat="1" ht="20.100000000000001" customHeight="1" x14ac:dyDescent="0.25">
      <c r="C99" s="231"/>
      <c r="D99" s="76"/>
      <c r="E99" s="28">
        <f>E98*E96</f>
        <v>163713.14568296357</v>
      </c>
      <c r="F99" s="4"/>
      <c r="G99" s="28">
        <f>G98*G96</f>
        <v>167459.42062160524</v>
      </c>
      <c r="H99" s="4"/>
      <c r="I99" s="28">
        <f>I98*I96</f>
        <v>170081.03586802271</v>
      </c>
      <c r="J99" s="4"/>
      <c r="K99" s="28">
        <f>K98*K96</f>
        <v>174204.33146464027</v>
      </c>
      <c r="O99" s="28">
        <f>O98*O96</f>
        <v>167314.44614336404</v>
      </c>
      <c r="P99" s="76"/>
      <c r="Q99" s="28">
        <f>Q98*Q96</f>
        <v>171106.71309171032</v>
      </c>
      <c r="R99" s="76"/>
      <c r="S99" s="28">
        <f>S98*S96</f>
        <v>173759.92961161642</v>
      </c>
      <c r="T99" s="77"/>
      <c r="U99" s="28">
        <f>U98*U96</f>
        <v>177931.97629194069</v>
      </c>
      <c r="V99" s="25"/>
      <c r="W99" s="77"/>
      <c r="Y99" s="28">
        <f>Y98*Y96</f>
        <v>167459.42062160524</v>
      </c>
      <c r="AA99" s="28">
        <f>AA98*AA96</f>
        <v>174204.33146464027</v>
      </c>
      <c r="AD99" s="82" t="s">
        <v>52</v>
      </c>
      <c r="AE99" s="82" t="s">
        <v>60</v>
      </c>
      <c r="AF99" s="82" t="s">
        <v>36</v>
      </c>
      <c r="AG99" s="82" t="s">
        <v>76</v>
      </c>
      <c r="AH99" s="82" t="s">
        <v>13</v>
      </c>
      <c r="AI99" s="76"/>
    </row>
    <row r="100" spans="2:47" s="79" customFormat="1" ht="20.100000000000001" customHeight="1" x14ac:dyDescent="0.25">
      <c r="C100" s="231"/>
      <c r="D100" s="76"/>
      <c r="E100" s="266">
        <f>RATE(E96,-E102,L72)*12</f>
        <v>5.7661231994090692E-2</v>
      </c>
      <c r="F100" s="4"/>
      <c r="G100" s="266">
        <f>RATE(G96,-G102,L72)*12</f>
        <v>6.0169846281789285E-2</v>
      </c>
      <c r="H100" s="4"/>
      <c r="I100" s="266">
        <f>RATE(I96,-I102,L72)*12</f>
        <v>6.1903217618820644E-2</v>
      </c>
      <c r="J100" s="4"/>
      <c r="K100" s="4"/>
      <c r="O100" s="266">
        <f>RATE(O96,-O102,L72)*12</f>
        <v>6.0073467352611418E-2</v>
      </c>
      <c r="P100" s="76"/>
      <c r="Q100" s="266">
        <f>RATE(Q96,-Q102,L72)*12</f>
        <v>6.2576566006138992E-2</v>
      </c>
      <c r="R100" s="76"/>
      <c r="S100" s="266">
        <f>RATE(S96,-S102,L72)*12</f>
        <v>6.4306134235547222E-2</v>
      </c>
      <c r="T100" s="77"/>
      <c r="U100" s="77"/>
      <c r="W100" s="77"/>
      <c r="Y100" s="266">
        <f>RATE(Y96,-Y102,L72)*12</f>
        <v>6.0169846281789285E-2</v>
      </c>
      <c r="AA100" s="28"/>
      <c r="AD100" s="4">
        <v>10</v>
      </c>
      <c r="AE100" s="78">
        <f t="shared" ref="AE100:AF103" si="7">AE93+0.25%</f>
        <v>3.7900000000000003E-2</v>
      </c>
      <c r="AF100" s="78">
        <f t="shared" si="7"/>
        <v>4.0100000000000004E-2</v>
      </c>
      <c r="AG100" s="76"/>
      <c r="AH100" s="78">
        <f>AH93+0.25%</f>
        <v>4.2000000000000003E-2</v>
      </c>
      <c r="AI100" s="28"/>
    </row>
    <row r="101" spans="2:47" s="79" customFormat="1" ht="20.100000000000001" customHeight="1" x14ac:dyDescent="0.25">
      <c r="C101" s="231"/>
      <c r="D101" s="76"/>
      <c r="E101" s="268">
        <f>E97+0.1652%</f>
        <v>4.8050742084739936E-3</v>
      </c>
      <c r="F101" s="4"/>
      <c r="G101" s="268">
        <f>G97+0.1652%</f>
        <v>5.014126519063313E-3</v>
      </c>
      <c r="H101" s="4"/>
      <c r="I101" s="268">
        <f>I97+0.1652%</f>
        <v>5.1585748777713955E-3</v>
      </c>
      <c r="J101" s="4"/>
      <c r="K101" s="4"/>
      <c r="O101" s="268">
        <f>O97+0.1652%</f>
        <v>5.0060948994528195E-3</v>
      </c>
      <c r="P101" s="76"/>
      <c r="Q101" s="268">
        <f>Q97+0.1652%</f>
        <v>5.2146875279843871E-3</v>
      </c>
      <c r="R101" s="76"/>
      <c r="S101" s="268">
        <f>S97+0.1652%</f>
        <v>5.358818930553135E-3</v>
      </c>
      <c r="T101" s="77"/>
      <c r="U101" s="77"/>
      <c r="W101" s="77"/>
      <c r="Y101" s="268">
        <f>Y97+0.1652%</f>
        <v>5.014126519063313E-3</v>
      </c>
      <c r="Z101" s="77"/>
      <c r="AA101" s="77"/>
      <c r="AD101" s="76">
        <v>15</v>
      </c>
      <c r="AE101" s="78">
        <f t="shared" si="7"/>
        <v>3.9800000000000002E-2</v>
      </c>
      <c r="AF101" s="78">
        <f t="shared" si="7"/>
        <v>4.2200000000000001E-2</v>
      </c>
      <c r="AG101" s="78">
        <f>AG94+0.25%</f>
        <v>4.3700000000000003E-2</v>
      </c>
      <c r="AH101" s="78">
        <f>AH94+0.25%</f>
        <v>4.5600000000000002E-2</v>
      </c>
      <c r="AI101" s="76"/>
    </row>
    <row r="102" spans="2:47" s="79" customFormat="1" ht="20.100000000000001" customHeight="1" x14ac:dyDescent="0.25">
      <c r="C102" s="231"/>
      <c r="D102" s="76"/>
      <c r="E102" s="28">
        <f>-PMT(E101,G72*12,L72,1)</f>
        <v>801.77157775562102</v>
      </c>
      <c r="F102" s="4"/>
      <c r="G102" s="28">
        <f>-PMT(G101,G72*12,L72,1)</f>
        <v>818.20264271806184</v>
      </c>
      <c r="H102" s="4"/>
      <c r="I102" s="28">
        <f>-PMT(I101,G72*12,L72,1)</f>
        <v>829.65637903581637</v>
      </c>
      <c r="J102" s="4"/>
      <c r="K102" s="4"/>
      <c r="O102" s="28">
        <f>-PMT(O101,G72*12,L72,1)</f>
        <v>817.56819074252905</v>
      </c>
      <c r="P102" s="76"/>
      <c r="Q102" s="28">
        <f>-PMT(Q101,G72*12,L72,1)</f>
        <v>834.12767155585175</v>
      </c>
      <c r="R102" s="76"/>
      <c r="S102" s="28">
        <f>-PMT(S101,G72*12,L72,1)</f>
        <v>845.66859298369775</v>
      </c>
      <c r="T102" s="77"/>
      <c r="U102" s="77"/>
      <c r="W102" s="77"/>
      <c r="Y102" s="28">
        <f>-PMT(Y101,G72*12,L72,1)</f>
        <v>818.20264271806184</v>
      </c>
      <c r="Z102" s="77"/>
      <c r="AA102" s="77"/>
      <c r="AD102" s="76">
        <v>20</v>
      </c>
      <c r="AE102" s="78">
        <f t="shared" si="7"/>
        <v>4.1000000000000002E-2</v>
      </c>
      <c r="AF102" s="78">
        <f t="shared" si="7"/>
        <v>4.36E-2</v>
      </c>
      <c r="AG102" s="78">
        <f>AG95+0.25%</f>
        <v>4.5400000000000003E-2</v>
      </c>
      <c r="AH102" s="78">
        <f>AH95+0.25%</f>
        <v>4.82E-2</v>
      </c>
      <c r="AI102" s="76"/>
    </row>
    <row r="103" spans="2:47" s="79" customFormat="1" ht="20.100000000000001" customHeight="1" x14ac:dyDescent="0.25">
      <c r="C103" s="231"/>
      <c r="D103" s="76"/>
      <c r="E103" s="28">
        <f>E102*E96</f>
        <v>192425.17866134905</v>
      </c>
      <c r="F103" s="4"/>
      <c r="G103" s="28">
        <f>G102*G96</f>
        <v>196368.63425233483</v>
      </c>
      <c r="H103" s="4"/>
      <c r="I103" s="28">
        <f>I102*I96</f>
        <v>199117.53096859594</v>
      </c>
      <c r="J103" s="5"/>
      <c r="K103" s="4"/>
      <c r="O103" s="28">
        <f>O102*O96</f>
        <v>196216.36577820696</v>
      </c>
      <c r="P103" s="76"/>
      <c r="Q103" s="28">
        <f>Q102*Q96</f>
        <v>200190.64117340441</v>
      </c>
      <c r="R103" s="76"/>
      <c r="S103" s="28">
        <f>S102*S96</f>
        <v>202960.46231608745</v>
      </c>
      <c r="T103" s="77"/>
      <c r="U103" s="77"/>
      <c r="V103" s="77"/>
      <c r="W103" s="77"/>
      <c r="Y103" s="28">
        <f>Y102*Y96</f>
        <v>196368.63425233483</v>
      </c>
      <c r="Z103" s="77"/>
      <c r="AA103" s="77"/>
      <c r="AD103" s="4">
        <v>25</v>
      </c>
      <c r="AE103" s="78">
        <f t="shared" si="7"/>
        <v>4.2100000000000005E-2</v>
      </c>
      <c r="AF103" s="78">
        <f t="shared" si="7"/>
        <v>4.4600000000000001E-2</v>
      </c>
      <c r="AG103" s="78">
        <f>AG96+0.25%</f>
        <v>4.6900000000000004E-2</v>
      </c>
      <c r="AH103" s="78">
        <f>AH96+0.25%</f>
        <v>5.0300000000000004E-2</v>
      </c>
      <c r="AI103" s="76"/>
    </row>
    <row r="104" spans="2:47" s="79" customFormat="1" ht="20.100000000000001" customHeight="1" x14ac:dyDescent="0.25">
      <c r="C104" s="5"/>
      <c r="P104" s="77"/>
      <c r="Q104" s="2"/>
      <c r="R104" s="77"/>
      <c r="S104" s="28"/>
      <c r="T104" s="77"/>
      <c r="U104" s="28"/>
      <c r="V104" s="77"/>
      <c r="W104" s="77"/>
      <c r="X104" s="77"/>
      <c r="Y104" s="28"/>
      <c r="Z104" s="77"/>
      <c r="AA104" s="77"/>
      <c r="AD104" s="4">
        <v>30</v>
      </c>
      <c r="AE104" s="76"/>
      <c r="AF104" s="76"/>
      <c r="AG104" s="76"/>
      <c r="AH104" s="78">
        <f>AH97+0.25%</f>
        <v>5.5100000000000003E-2</v>
      </c>
      <c r="AI104" s="76"/>
    </row>
    <row r="105" spans="2:47" s="79" customFormat="1" ht="20.100000000000001" customHeight="1" x14ac:dyDescent="0.25">
      <c r="I105" s="263"/>
      <c r="J105" s="263"/>
      <c r="K105" s="263"/>
      <c r="L105" s="263"/>
      <c r="M105" s="263"/>
      <c r="N105" s="263"/>
      <c r="O105" s="263"/>
      <c r="P105" s="264"/>
      <c r="Q105" s="265"/>
      <c r="R105" s="76"/>
      <c r="V105" s="77"/>
      <c r="AD105" s="76"/>
      <c r="AE105" s="76"/>
      <c r="AF105" s="76"/>
      <c r="AG105" s="76"/>
      <c r="AH105" s="76"/>
      <c r="AI105" s="76"/>
      <c r="AJ105" s="76"/>
    </row>
    <row r="106" spans="2:47" s="79" customFormat="1" ht="20.100000000000001" customHeight="1" x14ac:dyDescent="0.25">
      <c r="C106" s="5"/>
      <c r="Q106" s="89"/>
      <c r="R106" s="76"/>
      <c r="V106" s="77"/>
      <c r="AD106" s="76"/>
      <c r="AE106" s="76"/>
      <c r="AF106" s="76"/>
      <c r="AG106" s="76"/>
      <c r="AH106" s="76"/>
    </row>
    <row r="107" spans="2:47" s="79" customFormat="1" ht="20.100000000000001" customHeight="1" x14ac:dyDescent="0.25">
      <c r="C107" s="5"/>
      <c r="I107" s="263"/>
      <c r="Q107" s="89"/>
      <c r="R107" s="76"/>
      <c r="V107" s="77"/>
      <c r="AB107" s="77"/>
      <c r="AD107" s="76"/>
      <c r="AG107" s="89"/>
      <c r="AH107" s="76"/>
    </row>
    <row r="108" spans="2:47" s="79" customFormat="1" ht="20.100000000000001" customHeight="1" x14ac:dyDescent="0.25">
      <c r="Q108" s="89"/>
      <c r="R108" s="76"/>
      <c r="V108" s="77"/>
      <c r="AB108" s="77"/>
      <c r="AD108" s="76"/>
      <c r="AG108" s="89"/>
    </row>
    <row r="109" spans="2:47" s="79" customFormat="1" ht="20.100000000000001" customHeight="1" x14ac:dyDescent="0.25">
      <c r="Q109" s="89"/>
      <c r="R109" s="76"/>
      <c r="V109" s="77"/>
      <c r="AB109" s="77"/>
      <c r="AC109" s="77"/>
      <c r="AD109" s="76"/>
    </row>
    <row r="110" spans="2:47" s="79" customFormat="1" ht="20.100000000000001" customHeight="1" x14ac:dyDescent="0.25">
      <c r="Q110" s="89"/>
      <c r="R110" s="76"/>
      <c r="AB110" s="77"/>
      <c r="AC110" s="77"/>
      <c r="AD110" s="76"/>
    </row>
    <row r="111" spans="2:47" ht="20.100000000000001" customHeight="1" x14ac:dyDescent="0.25">
      <c r="B111" s="87"/>
      <c r="C111" s="91"/>
      <c r="D111" s="91"/>
      <c r="E111" s="91"/>
      <c r="F111" s="91"/>
      <c r="G111" s="91"/>
      <c r="H111" s="91"/>
      <c r="I111" s="91"/>
      <c r="J111" s="91"/>
      <c r="K111" s="91"/>
      <c r="L111" s="91"/>
      <c r="M111" s="91"/>
      <c r="N111" s="91"/>
      <c r="O111" s="91"/>
      <c r="P111" s="91"/>
      <c r="Q111" s="92"/>
      <c r="R111" s="93"/>
      <c r="S111" s="91"/>
      <c r="T111" s="91"/>
      <c r="U111" s="91"/>
      <c r="V111" s="91"/>
      <c r="W111" s="91"/>
      <c r="X111" s="91"/>
      <c r="Y111" s="91"/>
      <c r="Z111" s="91"/>
      <c r="AA111" s="91"/>
      <c r="AB111" s="94"/>
      <c r="AC111" s="94"/>
      <c r="AD111" s="83"/>
      <c r="AE111" s="67"/>
      <c r="AF111" s="67"/>
      <c r="AG111" s="29"/>
      <c r="AH111" s="29"/>
      <c r="AI111" s="29"/>
      <c r="AJ111" s="29"/>
      <c r="AK111" s="29"/>
      <c r="AL111" s="67"/>
      <c r="AM111" s="67"/>
      <c r="AN111" s="67"/>
      <c r="AO111" s="67"/>
      <c r="AP111" s="67"/>
      <c r="AQ111" s="29"/>
      <c r="AR111" s="9"/>
      <c r="AS111" s="9"/>
      <c r="AT111" s="9"/>
      <c r="AU111" s="9"/>
    </row>
    <row r="112" spans="2:47" ht="20.100000000000001" customHeight="1" x14ac:dyDescent="0.25">
      <c r="AD112" s="90"/>
      <c r="AE112" s="67"/>
      <c r="AF112" s="67"/>
      <c r="AG112" s="29"/>
      <c r="AH112" s="29"/>
      <c r="AI112" s="29"/>
      <c r="AJ112" s="29"/>
      <c r="AK112" s="29"/>
      <c r="AL112" s="67"/>
      <c r="AM112" s="67"/>
      <c r="AN112" s="67"/>
      <c r="AO112" s="67"/>
      <c r="AP112" s="67"/>
      <c r="AQ112" s="29"/>
      <c r="AR112" s="9"/>
      <c r="AS112" s="9"/>
      <c r="AT112" s="9"/>
      <c r="AU112" s="9"/>
    </row>
    <row r="113" spans="30:47" ht="20.100000000000001" customHeight="1" x14ac:dyDescent="0.25">
      <c r="AD113" s="83"/>
      <c r="AE113" s="67"/>
      <c r="AF113" s="67"/>
      <c r="AG113" s="29"/>
      <c r="AH113" s="29"/>
      <c r="AI113" s="29"/>
      <c r="AJ113" s="29"/>
      <c r="AK113" s="29"/>
      <c r="AL113" s="29"/>
      <c r="AM113" s="29"/>
      <c r="AN113" s="29"/>
      <c r="AO113" s="29"/>
      <c r="AP113" s="29"/>
      <c r="AQ113" s="29"/>
      <c r="AR113" s="9"/>
      <c r="AS113" s="9"/>
      <c r="AT113" s="9"/>
      <c r="AU113" s="9"/>
    </row>
    <row r="114" spans="30:47" ht="20.100000000000001" customHeight="1" x14ac:dyDescent="0.25">
      <c r="AD114" s="26"/>
      <c r="AE114" s="29"/>
      <c r="AF114" s="29"/>
      <c r="AG114" s="29"/>
      <c r="AH114" s="26"/>
      <c r="AI114" s="29"/>
      <c r="AJ114" s="29"/>
      <c r="AK114" s="29"/>
      <c r="AL114" s="29"/>
      <c r="AM114" s="29"/>
      <c r="AN114" s="29"/>
      <c r="AO114" s="29"/>
      <c r="AP114" s="29"/>
      <c r="AQ114" s="29"/>
      <c r="AR114" s="9"/>
      <c r="AS114" s="9"/>
      <c r="AT114" s="9"/>
      <c r="AU114" s="9"/>
    </row>
    <row r="115" spans="30:47" ht="20.100000000000001" customHeight="1" x14ac:dyDescent="0.25">
      <c r="AD115" s="26"/>
      <c r="AE115" s="29"/>
      <c r="AF115" s="29"/>
      <c r="AG115" s="64"/>
      <c r="AH115" s="78"/>
      <c r="AI115" s="26"/>
      <c r="AJ115" s="26"/>
      <c r="AK115" s="29"/>
      <c r="AL115" s="29"/>
      <c r="AM115" s="29"/>
      <c r="AN115" s="29"/>
      <c r="AO115" s="29"/>
      <c r="AP115" s="29"/>
      <c r="AQ115" s="29"/>
      <c r="AR115" s="9"/>
      <c r="AS115" s="9"/>
      <c r="AT115" s="9"/>
      <c r="AU115" s="9"/>
    </row>
    <row r="116" spans="30:47" ht="20.100000000000001" customHeight="1" x14ac:dyDescent="0.25">
      <c r="AD116" s="26"/>
      <c r="AE116" s="4"/>
      <c r="AF116" s="76"/>
      <c r="AG116" s="76"/>
      <c r="AH116" s="77"/>
      <c r="AI116" s="26"/>
      <c r="AJ116" s="82"/>
      <c r="AK116" s="29"/>
      <c r="AL116" s="29"/>
      <c r="AM116" s="29"/>
      <c r="AN116" s="29"/>
      <c r="AO116" s="29"/>
      <c r="AP116" s="29"/>
      <c r="AQ116" s="29"/>
      <c r="AR116" s="9"/>
      <c r="AS116" s="9"/>
      <c r="AT116" s="9"/>
      <c r="AU116" s="9"/>
    </row>
    <row r="117" spans="30:47" ht="20.100000000000001" customHeight="1" x14ac:dyDescent="0.25">
      <c r="AD117" s="26"/>
      <c r="AE117" s="77"/>
      <c r="AF117" s="77"/>
      <c r="AG117" s="77"/>
      <c r="AH117" s="26"/>
      <c r="AI117" s="26"/>
      <c r="AJ117" s="26"/>
      <c r="AK117" s="29"/>
      <c r="AL117" s="29"/>
      <c r="AM117" s="29"/>
      <c r="AN117" s="29"/>
      <c r="AO117" s="29"/>
      <c r="AP117" s="29"/>
      <c r="AQ117" s="29"/>
      <c r="AR117" s="9"/>
      <c r="AS117" s="9"/>
      <c r="AT117" s="9"/>
      <c r="AU117" s="9"/>
    </row>
    <row r="118" spans="30:47" ht="20.100000000000001" customHeight="1" x14ac:dyDescent="0.25">
      <c r="AD118" s="76"/>
      <c r="AE118" s="26"/>
      <c r="AF118" s="26"/>
      <c r="AG118" s="26"/>
      <c r="AH118" s="26"/>
      <c r="AI118" s="26"/>
      <c r="AJ118" s="26"/>
      <c r="AK118" s="29"/>
      <c r="AL118" s="29"/>
      <c r="AM118" s="29"/>
      <c r="AN118" s="29"/>
      <c r="AO118" s="29"/>
      <c r="AP118" s="29"/>
      <c r="AQ118" s="29"/>
      <c r="AR118" s="9"/>
      <c r="AS118" s="9"/>
      <c r="AT118" s="9"/>
      <c r="AU118" s="9"/>
    </row>
    <row r="119" spans="30:47" ht="20.100000000000001" customHeight="1" x14ac:dyDescent="0.25">
      <c r="AD119" s="18"/>
      <c r="AR119" s="9"/>
      <c r="AS119" s="9"/>
      <c r="AT119" s="9"/>
      <c r="AU119" s="9"/>
    </row>
    <row r="120" spans="30:47" ht="20.100000000000001" customHeight="1" x14ac:dyDescent="0.25">
      <c r="AD120" s="18"/>
      <c r="AR120" s="9"/>
      <c r="AS120" s="9"/>
      <c r="AT120" s="9"/>
      <c r="AU120" s="9"/>
    </row>
    <row r="121" spans="30:47" ht="20.100000000000001" customHeight="1" x14ac:dyDescent="0.25">
      <c r="AD121" s="18"/>
      <c r="AR121" s="9"/>
      <c r="AS121" s="9"/>
      <c r="AT121" s="9"/>
      <c r="AU121" s="9"/>
    </row>
    <row r="122" spans="30:47" ht="20.100000000000001" customHeight="1" x14ac:dyDescent="0.25">
      <c r="AR122" s="9"/>
      <c r="AS122" s="9"/>
      <c r="AT122" s="9"/>
      <c r="AU122" s="9"/>
    </row>
  </sheetData>
  <mergeCells count="37">
    <mergeCell ref="M13:O13"/>
    <mergeCell ref="I13:K13"/>
    <mergeCell ref="E13:G13"/>
    <mergeCell ref="S78:U78"/>
    <mergeCell ref="X85:AB85"/>
    <mergeCell ref="Y72:AA73"/>
    <mergeCell ref="C68:C69"/>
    <mergeCell ref="L72:N73"/>
    <mergeCell ref="O85:U85"/>
    <mergeCell ref="Y84:AA84"/>
    <mergeCell ref="O72:O73"/>
    <mergeCell ref="Q72:Q73"/>
    <mergeCell ref="O84:U84"/>
    <mergeCell ref="E6:G6"/>
    <mergeCell ref="I6:K6"/>
    <mergeCell ref="M6:O6"/>
    <mergeCell ref="E8:G8"/>
    <mergeCell ref="I8:K8"/>
    <mergeCell ref="M8:O8"/>
    <mergeCell ref="M11:O11"/>
    <mergeCell ref="E12:G12"/>
    <mergeCell ref="I12:K12"/>
    <mergeCell ref="M12:O12"/>
    <mergeCell ref="E9:G9"/>
    <mergeCell ref="I9:K9"/>
    <mergeCell ref="M9:O9"/>
    <mergeCell ref="E10:G10"/>
    <mergeCell ref="I10:K10"/>
    <mergeCell ref="M10:O10"/>
    <mergeCell ref="E11:G11"/>
    <mergeCell ref="I11:K11"/>
    <mergeCell ref="Q8:S8"/>
    <mergeCell ref="Q9:S9"/>
    <mergeCell ref="Q10:S10"/>
    <mergeCell ref="Q11:S11"/>
    <mergeCell ref="Q13:S13"/>
    <mergeCell ref="S74:U74"/>
  </mergeCells>
  <conditionalFormatting sqref="E52">
    <cfRule type="expression" dxfId="231" priority="161">
      <formula>$E$52=1100</formula>
    </cfRule>
  </conditionalFormatting>
  <conditionalFormatting sqref="G52">
    <cfRule type="expression" dxfId="230" priority="160">
      <formula>$G$52=1100</formula>
    </cfRule>
  </conditionalFormatting>
  <conditionalFormatting sqref="I52">
    <cfRule type="expression" dxfId="229" priority="159">
      <formula>$I$52=1100</formula>
    </cfRule>
  </conditionalFormatting>
  <conditionalFormatting sqref="K52">
    <cfRule type="expression" dxfId="228" priority="158">
      <formula>$K$52=1100</formula>
    </cfRule>
  </conditionalFormatting>
  <conditionalFormatting sqref="G56:G57">
    <cfRule type="expression" dxfId="227" priority="143">
      <formula>$G$56=300</formula>
    </cfRule>
    <cfRule type="expression" dxfId="226" priority="156">
      <formula>$G$56=1300</formula>
    </cfRule>
  </conditionalFormatting>
  <conditionalFormatting sqref="I56:I57">
    <cfRule type="expression" dxfId="225" priority="142">
      <formula>$I$56=300</formula>
    </cfRule>
    <cfRule type="expression" dxfId="224" priority="155">
      <formula>$I$56=1300</formula>
    </cfRule>
  </conditionalFormatting>
  <conditionalFormatting sqref="K56:K57">
    <cfRule type="expression" dxfId="223" priority="141">
      <formula>$K$56=300</formula>
    </cfRule>
    <cfRule type="expression" dxfId="222" priority="154">
      <formula>$K$56=1300</formula>
    </cfRule>
  </conditionalFormatting>
  <conditionalFormatting sqref="E58">
    <cfRule type="expression" dxfId="221" priority="140">
      <formula>$E$58=300</formula>
    </cfRule>
    <cfRule type="expression" dxfId="220" priority="153">
      <formula>$E$58=2400</formula>
    </cfRule>
  </conditionalFormatting>
  <conditionalFormatting sqref="G58">
    <cfRule type="expression" dxfId="219" priority="139">
      <formula>$G$58=300</formula>
    </cfRule>
    <cfRule type="expression" dxfId="218" priority="152">
      <formula>$G$58=2400</formula>
    </cfRule>
  </conditionalFormatting>
  <conditionalFormatting sqref="I58">
    <cfRule type="expression" dxfId="217" priority="138">
      <formula>$I$58=300</formula>
    </cfRule>
    <cfRule type="expression" dxfId="216" priority="151">
      <formula>$I$58=2400</formula>
    </cfRule>
  </conditionalFormatting>
  <conditionalFormatting sqref="K58">
    <cfRule type="expression" dxfId="215" priority="137">
      <formula>$K$58=300</formula>
    </cfRule>
    <cfRule type="expression" dxfId="214" priority="150">
      <formula>$K$58=2400</formula>
    </cfRule>
  </conditionalFormatting>
  <conditionalFormatting sqref="G62">
    <cfRule type="expression" dxfId="213" priority="135">
      <formula>$G$62=300</formula>
    </cfRule>
    <cfRule type="expression" dxfId="212" priority="148">
      <formula>$G$62=2200</formula>
    </cfRule>
  </conditionalFormatting>
  <conditionalFormatting sqref="I62 W86 W94">
    <cfRule type="expression" dxfId="211" priority="134">
      <formula>$I$62=300</formula>
    </cfRule>
    <cfRule type="expression" dxfId="210" priority="147">
      <formula>$I$62=2200</formula>
    </cfRule>
  </conditionalFormatting>
  <conditionalFormatting sqref="K62">
    <cfRule type="expression" dxfId="209" priority="133">
      <formula>$K$62=300</formula>
    </cfRule>
    <cfRule type="expression" dxfId="208" priority="146">
      <formula>$K$62=2200</formula>
    </cfRule>
  </conditionalFormatting>
  <conditionalFormatting sqref="M52">
    <cfRule type="expression" dxfId="207" priority="164">
      <formula>$M$52=1100</formula>
    </cfRule>
  </conditionalFormatting>
  <conditionalFormatting sqref="M56:M57">
    <cfRule type="expression" dxfId="206" priority="165">
      <formula>$M$56=300</formula>
    </cfRule>
    <cfRule type="expression" dxfId="205" priority="166">
      <formula>$M$56=1300</formula>
    </cfRule>
  </conditionalFormatting>
  <conditionalFormatting sqref="M58">
    <cfRule type="expression" dxfId="204" priority="167">
      <formula>$M$58=300</formula>
    </cfRule>
    <cfRule type="expression" dxfId="203" priority="168">
      <formula>$M$58=2400</formula>
    </cfRule>
  </conditionalFormatting>
  <conditionalFormatting sqref="M62">
    <cfRule type="expression" dxfId="202" priority="169">
      <formula>$M$62=300</formula>
    </cfRule>
    <cfRule type="expression" dxfId="201" priority="170">
      <formula>$M$62=2200</formula>
    </cfRule>
  </conditionalFormatting>
  <conditionalFormatting sqref="E74:E82 G74:G82 K74:K82 M74:M79 M81:M82">
    <cfRule type="expression" dxfId="200" priority="172">
      <formula>$E$74&lt;=#REF!*40%</formula>
    </cfRule>
  </conditionalFormatting>
  <conditionalFormatting sqref="AK38 AK45">
    <cfRule type="expression" dxfId="199" priority="130">
      <formula>#REF!=300</formula>
    </cfRule>
  </conditionalFormatting>
  <conditionalFormatting sqref="G90 K90 O90 Q90 U90">
    <cfRule type="expression" dxfId="198" priority="129">
      <formula>OR(AND($E$88&lt;=2000,$G$90&lt;=0.4),AND($E$88&gt;2000,$E$88&lt;=3000,$G$90&lt;=0.45),AND($E$88&gt;3000,$G$90&lt;=0.5))</formula>
    </cfRule>
  </conditionalFormatting>
  <conditionalFormatting sqref="E90">
    <cfRule type="expression" dxfId="197" priority="128">
      <formula>OR(AND($E$88&lt;=2000,$E$90&lt;=0.4),AND($E$88&gt;2000,$E$88&lt;=3000,$E$90&lt;=0.45),AND($E$88&gt;3000,$E$90&lt;=0.5))</formula>
    </cfRule>
  </conditionalFormatting>
  <conditionalFormatting sqref="E54:M54 Q54:R54 O54">
    <cfRule type="expression" dxfId="196" priority="174">
      <formula>$E$54=300</formula>
    </cfRule>
  </conditionalFormatting>
  <conditionalFormatting sqref="E92:E93">
    <cfRule type="expression" dxfId="195" priority="125">
      <formula>$E$92&lt;=100%</formula>
    </cfRule>
  </conditionalFormatting>
  <conditionalFormatting sqref="AH4:AH5">
    <cfRule type="expression" dxfId="194" priority="175">
      <formula>AH4&lt;=$K$15*40%</formula>
    </cfRule>
  </conditionalFormatting>
  <conditionalFormatting sqref="E51 G51 I51 K51 M51 Q51 S51">
    <cfRule type="expression" dxfId="193" priority="124">
      <formula>$E$51=1100</formula>
    </cfRule>
  </conditionalFormatting>
  <conditionalFormatting sqref="E65:S65">
    <cfRule type="expression" dxfId="192" priority="121">
      <formula>$E$65=2575</formula>
    </cfRule>
  </conditionalFormatting>
  <conditionalFormatting sqref="E64 W91 Y91 AA91 G64:S64">
    <cfRule type="expression" dxfId="191" priority="119">
      <formula>$E$64=175</formula>
    </cfRule>
  </conditionalFormatting>
  <conditionalFormatting sqref="AI95">
    <cfRule type="expression" dxfId="190" priority="178">
      <formula>OR(AND($AD$102&lt;=2500,$AD$104&lt;=0.33),AND($AD$102&gt;2500,$AD$104&lt;=0.5))</formula>
    </cfRule>
  </conditionalFormatting>
  <conditionalFormatting sqref="S29:S42">
    <cfRule type="expression" dxfId="189" priority="89">
      <formula>$S$29=0</formula>
    </cfRule>
  </conditionalFormatting>
  <conditionalFormatting sqref="AA11">
    <cfRule type="expression" dxfId="188" priority="83">
      <formula>$AA$11=0</formula>
    </cfRule>
  </conditionalFormatting>
  <conditionalFormatting sqref="W17:W23">
    <cfRule type="expression" dxfId="187" priority="82">
      <formula>$W$17=0</formula>
    </cfRule>
  </conditionalFormatting>
  <conditionalFormatting sqref="Y17:Y23">
    <cfRule type="expression" dxfId="186" priority="81">
      <formula>$Y$17=0</formula>
    </cfRule>
  </conditionalFormatting>
  <conditionalFormatting sqref="U29">
    <cfRule type="expression" dxfId="185" priority="80">
      <formula>$U$29=0</formula>
    </cfRule>
  </conditionalFormatting>
  <conditionalFormatting sqref="U32">
    <cfRule type="expression" dxfId="184" priority="79">
      <formula>$U$32=0</formula>
    </cfRule>
  </conditionalFormatting>
  <conditionalFormatting sqref="Y25:Y26">
    <cfRule type="expression" dxfId="183" priority="78">
      <formula>$Y$25=0</formula>
    </cfRule>
  </conditionalFormatting>
  <conditionalFormatting sqref="E25:O26">
    <cfRule type="expression" dxfId="182" priority="75">
      <formula>$E$25=0</formula>
    </cfRule>
  </conditionalFormatting>
  <conditionalFormatting sqref="U10">
    <cfRule type="expression" dxfId="181" priority="74">
      <formula>$U$10=0</formula>
    </cfRule>
  </conditionalFormatting>
  <conditionalFormatting sqref="U11">
    <cfRule type="expression" dxfId="180" priority="73">
      <formula>$U$11=0</formula>
    </cfRule>
  </conditionalFormatting>
  <conditionalFormatting sqref="O52">
    <cfRule type="expression" dxfId="179" priority="59">
      <formula>$I$52=1100</formula>
    </cfRule>
  </conditionalFormatting>
  <conditionalFormatting sqref="Q52">
    <cfRule type="expression" dxfId="178" priority="58">
      <formula>$K$52=1100</formula>
    </cfRule>
  </conditionalFormatting>
  <conditionalFormatting sqref="O56:O57">
    <cfRule type="expression" dxfId="177" priority="50">
      <formula>$I$56=300</formula>
    </cfRule>
    <cfRule type="expression" dxfId="176" priority="57">
      <formula>$I$56=1300</formula>
    </cfRule>
  </conditionalFormatting>
  <conditionalFormatting sqref="Q56:Q57">
    <cfRule type="expression" dxfId="175" priority="49">
      <formula>$K$56=300</formula>
    </cfRule>
    <cfRule type="expression" dxfId="174" priority="56">
      <formula>$K$56=1300</formula>
    </cfRule>
  </conditionalFormatting>
  <conditionalFormatting sqref="O58">
    <cfRule type="expression" dxfId="173" priority="48">
      <formula>$I$58=300</formula>
    </cfRule>
    <cfRule type="expression" dxfId="172" priority="55">
      <formula>$I$58=2400</formula>
    </cfRule>
  </conditionalFormatting>
  <conditionalFormatting sqref="Q58">
    <cfRule type="expression" dxfId="171" priority="54">
      <formula>$K$58=2400</formula>
    </cfRule>
  </conditionalFormatting>
  <conditionalFormatting sqref="O62">
    <cfRule type="expression" dxfId="170" priority="46">
      <formula>$I$62=300</formula>
    </cfRule>
    <cfRule type="expression" dxfId="169" priority="52">
      <formula>$I$62=2200</formula>
    </cfRule>
  </conditionalFormatting>
  <conditionalFormatting sqref="Q62">
    <cfRule type="expression" dxfId="168" priority="45">
      <formula>$K$62=300</formula>
    </cfRule>
    <cfRule type="expression" dxfId="167" priority="51">
      <formula>$K$62=2200</formula>
    </cfRule>
  </conditionalFormatting>
  <conditionalFormatting sqref="S52">
    <cfRule type="expression" dxfId="166" priority="61">
      <formula>$M$52=1100</formula>
    </cfRule>
  </conditionalFormatting>
  <conditionalFormatting sqref="S56:S57">
    <cfRule type="expression" dxfId="165" priority="62">
      <formula>$M$56=300</formula>
    </cfRule>
    <cfRule type="expression" dxfId="164" priority="63">
      <formula>$M$56=1300</formula>
    </cfRule>
  </conditionalFormatting>
  <conditionalFormatting sqref="S58">
    <cfRule type="expression" dxfId="163" priority="64">
      <formula>$M$58=300</formula>
    </cfRule>
    <cfRule type="expression" dxfId="162" priority="65">
      <formula>$M$58=2400</formula>
    </cfRule>
  </conditionalFormatting>
  <conditionalFormatting sqref="S62">
    <cfRule type="expression" dxfId="161" priority="66">
      <formula>$M$62=300</formula>
    </cfRule>
    <cfRule type="expression" dxfId="160" priority="67">
      <formula>$M$62=2200</formula>
    </cfRule>
  </conditionalFormatting>
  <conditionalFormatting sqref="P54">
    <cfRule type="expression" dxfId="159" priority="68">
      <formula>$E$54=300</formula>
    </cfRule>
  </conditionalFormatting>
  <conditionalFormatting sqref="O51">
    <cfRule type="expression" dxfId="158" priority="44">
      <formula>$E$51=1100</formula>
    </cfRule>
  </conditionalFormatting>
  <conditionalFormatting sqref="Q50">
    <cfRule type="expression" dxfId="157" priority="42">
      <formula>$K$50=0</formula>
    </cfRule>
  </conditionalFormatting>
  <conditionalFormatting sqref="S50">
    <cfRule type="expression" dxfId="156" priority="41">
      <formula>$G$50=0</formula>
    </cfRule>
  </conditionalFormatting>
  <conditionalFormatting sqref="O62">
    <cfRule type="expression" dxfId="155" priority="53">
      <formula>$E$62=2400</formula>
    </cfRule>
  </conditionalFormatting>
  <conditionalFormatting sqref="Q50">
    <cfRule type="expression" dxfId="154" priority="40">
      <formula>$G$50=0</formula>
    </cfRule>
  </conditionalFormatting>
  <conditionalFormatting sqref="S50">
    <cfRule type="expression" dxfId="153" priority="39">
      <formula>$G$50=0</formula>
    </cfRule>
  </conditionalFormatting>
  <conditionalFormatting sqref="S45">
    <cfRule type="expression" dxfId="152" priority="36">
      <formula>$G$50=0</formula>
    </cfRule>
  </conditionalFormatting>
  <conditionalFormatting sqref="O45">
    <cfRule type="expression" dxfId="151" priority="38">
      <formula>$G$50=0</formula>
    </cfRule>
  </conditionalFormatting>
  <conditionalFormatting sqref="Q45">
    <cfRule type="expression" dxfId="150" priority="37">
      <formula>$G$50=0</formula>
    </cfRule>
  </conditionalFormatting>
  <conditionalFormatting sqref="M29">
    <cfRule type="expression" dxfId="149" priority="34">
      <formula>$M$29=0</formula>
    </cfRule>
  </conditionalFormatting>
  <conditionalFormatting sqref="E50">
    <cfRule type="expression" dxfId="148" priority="33">
      <formula>$E$50=0</formula>
    </cfRule>
  </conditionalFormatting>
  <conditionalFormatting sqref="O98 E98 G98 K98 Q98 O102 G102 Q102 AI100 E102 U98">
    <cfRule type="expression" dxfId="147" priority="390">
      <formula>#REF!&lt;=$K$45*40%</formula>
    </cfRule>
  </conditionalFormatting>
  <conditionalFormatting sqref="M50 O50">
    <cfRule type="expression" dxfId="146" priority="32">
      <formula>$M$50=0</formula>
    </cfRule>
  </conditionalFormatting>
  <conditionalFormatting sqref="S54">
    <cfRule type="expression" dxfId="145" priority="31">
      <formula>$E$54=300</formula>
    </cfRule>
  </conditionalFormatting>
  <conditionalFormatting sqref="W94">
    <cfRule type="expression" dxfId="144" priority="391">
      <formula>#REF!=2575</formula>
    </cfRule>
    <cfRule type="expression" dxfId="143" priority="392">
      <formula>$E$62=2575</formula>
    </cfRule>
  </conditionalFormatting>
  <conditionalFormatting sqref="I90">
    <cfRule type="expression" dxfId="142" priority="28">
      <formula>OR(AND($E$88&lt;=2000,$G$90&lt;=0.4),AND($E$88&gt;2000,$E$88&lt;=3000,$G$90&lt;=0.45),AND($E$88&gt;3000,$G$90&lt;=0.5))</formula>
    </cfRule>
  </conditionalFormatting>
  <conditionalFormatting sqref="S90">
    <cfRule type="expression" dxfId="141" priority="26">
      <formula>OR(AND($E$88&lt;=2000,$G$90&lt;=0.4),AND($E$88&gt;2000,$E$88&lt;=3000,$G$90&lt;=0.45),AND($E$88&gt;3000,$G$90&lt;=0.5))</formula>
    </cfRule>
  </conditionalFormatting>
  <conditionalFormatting sqref="I98 I102">
    <cfRule type="expression" dxfId="140" priority="29">
      <formula>#REF!&lt;=$K$45*40%</formula>
    </cfRule>
  </conditionalFormatting>
  <conditionalFormatting sqref="S98 S102">
    <cfRule type="expression" dxfId="139" priority="27">
      <formula>#REF!&lt;=$K$45*40%</formula>
    </cfRule>
  </conditionalFormatting>
  <conditionalFormatting sqref="E54:E55 G54:G55 I54:I55 K54:K55 M54:M55 O54:O55 Q54:Q55 S54:S55">
    <cfRule type="expression" dxfId="138" priority="25">
      <formula>$E$54=0</formula>
    </cfRule>
  </conditionalFormatting>
  <conditionalFormatting sqref="U31">
    <cfRule type="expression" dxfId="137" priority="23">
      <formula>$U$31=0</formula>
    </cfRule>
  </conditionalFormatting>
  <conditionalFormatting sqref="Q58 O58 S58 M58 K58 I58 G58 E58">
    <cfRule type="expression" dxfId="136" priority="47">
      <formula>$K$58=2310</formula>
    </cfRule>
  </conditionalFormatting>
  <conditionalFormatting sqref="E65 G65 I65">
    <cfRule type="expression" dxfId="135" priority="21">
      <formula>$E$65=2485</formula>
    </cfRule>
  </conditionalFormatting>
  <conditionalFormatting sqref="E62 G62 I62 K62 M62 O62 Q62 S62">
    <cfRule type="expression" dxfId="134" priority="20">
      <formula>$E$62</formula>
    </cfRule>
  </conditionalFormatting>
  <conditionalFormatting sqref="E56 G56 I56 K56 M56 O56 Q56 S56">
    <cfRule type="expression" dxfId="133" priority="19">
      <formula>$E$56=1210</formula>
    </cfRule>
  </conditionalFormatting>
  <conditionalFormatting sqref="L72">
    <cfRule type="expression" dxfId="132" priority="394">
      <formula>$L$72=2485</formula>
    </cfRule>
  </conditionalFormatting>
  <conditionalFormatting sqref="Q72 E74:E82 G74:G82 K74:K82 M74:M79 M81:M82">
    <cfRule type="expression" dxfId="131" priority="396">
      <formula>$L$72=550</formula>
    </cfRule>
  </conditionalFormatting>
  <conditionalFormatting sqref="Y90">
    <cfRule type="expression" dxfId="130" priority="14">
      <formula>OR(AND($E$88&lt;=2000,$G$90&lt;=0.4),AND($E$88&gt;2000,$E$88&lt;=3000,$G$90&lt;=0.45),AND($E$88&gt;3000,$G$90&lt;=0.5))</formula>
    </cfRule>
  </conditionalFormatting>
  <conditionalFormatting sqref="AA90">
    <cfRule type="expression" dxfId="129" priority="13">
      <formula>OR(AND($E$88&lt;=2000,$G$90&lt;=0.4),AND($E$88&gt;2000,$E$88&lt;=3000,$G$90&lt;=0.45),AND($E$88+$AB$90&gt;3000,$G$90&lt;=0.5))</formula>
    </cfRule>
  </conditionalFormatting>
  <conditionalFormatting sqref="AH116 AF117 AT30">
    <cfRule type="expression" dxfId="128" priority="540">
      <formula>COUNTA($R$8:$R$14)=0</formula>
    </cfRule>
  </conditionalFormatting>
  <conditionalFormatting sqref="Y98 Y102">
    <cfRule type="expression" dxfId="127" priority="12">
      <formula>#REF!&lt;=$K$45*40%</formula>
    </cfRule>
  </conditionalFormatting>
  <conditionalFormatting sqref="AA98">
    <cfRule type="expression" dxfId="126" priority="11">
      <formula>#REF!&lt;=$K$45*40%</formula>
    </cfRule>
  </conditionalFormatting>
  <conditionalFormatting sqref="K59 K61">
    <cfRule type="expression" dxfId="125" priority="9">
      <formula>$K$59:$K$61=0</formula>
    </cfRule>
    <cfRule type="expression" dxfId="124" priority="10">
      <formula>$K$58:$K$61=0</formula>
    </cfRule>
  </conditionalFormatting>
  <conditionalFormatting sqref="M59 M61">
    <cfRule type="expression" dxfId="123" priority="8">
      <formula>$M$59:$O$61=0</formula>
    </cfRule>
  </conditionalFormatting>
  <conditionalFormatting sqref="S59 S61">
    <cfRule type="expression" dxfId="122" priority="7">
      <formula>$Q$59:$S$61=0</formula>
    </cfRule>
  </conditionalFormatting>
  <conditionalFormatting sqref="G59 G61">
    <cfRule type="expression" dxfId="121" priority="5">
      <formula>$G$59=0</formula>
    </cfRule>
  </conditionalFormatting>
  <conditionalFormatting sqref="I59 I61">
    <cfRule type="expression" dxfId="120" priority="4">
      <formula>$I$59:$I$61=0</formula>
    </cfRule>
  </conditionalFormatting>
  <conditionalFormatting sqref="O59 O61">
    <cfRule type="expression" dxfId="119" priority="3">
      <formula>$O$59=0</formula>
    </cfRule>
  </conditionalFormatting>
  <conditionalFormatting sqref="Q59 Q61">
    <cfRule type="expression" dxfId="118" priority="2">
      <formula>$Q$59=0</formula>
    </cfRule>
  </conditionalFormatting>
  <conditionalFormatting sqref="M30:M38">
    <cfRule type="expression" dxfId="117" priority="1">
      <formula>$M$30:$M$38=0</formula>
    </cfRule>
  </conditionalFormatting>
  <dataValidations count="3">
    <dataValidation type="list" allowBlank="1" showInputMessage="1" showErrorMessage="1" sqref="G72:I72">
      <formula1>$AN$22:$AN$27</formula1>
    </dataValidation>
    <dataValidation type="list" allowBlank="1" showInputMessage="1" showErrorMessage="1" sqref="C17:C24">
      <formula1>#REF!</formula1>
    </dataValidation>
    <dataValidation type="list" allowBlank="1" showInputMessage="1" showErrorMessage="1" sqref="G73:I73">
      <formula1>$AL$21:$AL$30</formula1>
    </dataValidation>
  </dataValidations>
  <pageMargins left="0.7" right="0.7" top="0.75" bottom="0.75" header="0.3" footer="0.3"/>
  <pageSetup paperSize="9" orientation="portrait" horizontalDpi="300" verticalDpi="300" r:id="rId1"/>
  <ignoredErrors>
    <ignoredError sqref="E43:I43 E25:O25 F72 AC57 T57:V57 T10:T13 Z15:AA25 V58:AA58 AJ2:AJ17 AC55 F73 R72:R73 AB87:AC111 E74:P74 U29 U31:U32 W17:Y23 V10:V13 V74:AA74 E109:AA110 X106:AA108 S14:V14 X57:AA57 R45 M29:M38 AB58:AC59 Y25 U10:U11 G45:P45 J73 E86:H87 J86:J87 AC85 AE100:AF104 E105:H105 T105 P72 P73 L72 V105:AA105 H72:J72 AH100 AH101:AH103 AG104:AH106 AG101:AG103 M43 E65" unlockedFormula="1"/>
    <ignoredError sqref="T94:X94 K94:R94 Z94 I92:I94 Z92:AA93 Z98 Z99 L95:X95 Z96:Z97 X104:AA104 X99 K99:V99 K92:X93 Y92:Y93 K100:S102 K103:S103 K96:X98 I96:I99 U100:U102 U103 I100:I102 I103 J95 V100:X102 T100:T103 J92:J94 V103:X103 J96:J103 E96:H103 Z103:AA103 E104:V104 E92:H94 Z100:AA102 Z89 K88:X89 I88:I89 J88:J89 Y88 Z88:AA88 E88:H89 E90:H91 J90:J91 K91:R91 X91 I91 K90:R90 T90:X90 Z90:Z91 T91:V91 Y91 AA91 J49 L49:P49 R49 H49 E49:F49 G64 I64 S64 Q64 O64 M64 K64 E64 F65:S65 K50:S50 E50:I50 E51:S53 E56:S56 H55:S55 R54 P54 N54 L54 J54 H54 F54 F55:G55 E57:S59 R62 P62 N62 L62 J62 H62 F62 E63:S63 E48:S48 E61:S61" evalError="1" unlockedFormula="1"/>
    <ignoredError sqref="E95:I95 W104 W99 Y103 Y100:Y102 K95 Y98 S94 Y99 Y96:Y97 AA96:AA97 Y95:AA95 AA99 AA98 AA94 Y94 W91 AA90 Y90 S91 S90 I90 Y89 AA89 G49 F64 E62 G62 I62 K62 M62 O62 Q62 S62 E55 E54 G54 I54 K54 M54 O54 Q54 S54 J50 L64 N64 P64 R64 J64 H64 I49 S49 Q49 K49" evalError="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JMM17072012</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cp:lastPrinted>2012-07-13T17:40:27Z</cp:lastPrinted>
  <dcterms:created xsi:type="dcterms:W3CDTF">2011-10-22T11:47:12Z</dcterms:created>
  <dcterms:modified xsi:type="dcterms:W3CDTF">2012-07-17T20:55:19Z</dcterms:modified>
</cp:coreProperties>
</file>