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945" windowWidth="15480" windowHeight="10575" tabRatio="529" activeTab="1"/>
  </bookViews>
  <sheets>
    <sheet name="Données" sheetId="38" r:id="rId1"/>
    <sheet name="CF" sheetId="44" r:id="rId2"/>
  </sheets>
  <externalReferences>
    <externalReference r:id="rId3"/>
  </externalReferences>
  <definedNames>
    <definedName name="BedragF">#REF!</definedName>
    <definedName name="EuroConv">[1]Parameterblad!$C$1</definedName>
    <definedName name="FullFormules">[1]Formules!$A$26:$V$39</definedName>
    <definedName name="Geldigheid">[1]Parameterblad!$B$4</definedName>
    <definedName name="KredietTypes">[1]Parameterblad!$A$25:$B$26</definedName>
    <definedName name="looptijdF">#REF!</definedName>
    <definedName name="maandenF">#REF!</definedName>
    <definedName name="mensF">#REF!</definedName>
    <definedName name="nettorvtF">#REF!</definedName>
    <definedName name="UitstelF">#REF!</definedName>
    <definedName name="_xlnm.Print_Area" localSheetId="0">Données!$A$1:$AB$81</definedName>
  </definedNames>
  <calcPr calcId="144525"/>
</workbook>
</file>

<file path=xl/calcChain.xml><?xml version="1.0" encoding="utf-8"?>
<calcChain xmlns="http://schemas.openxmlformats.org/spreadsheetml/2006/main">
  <c r="J31" i="44" l="1"/>
  <c r="J30" i="44" l="1"/>
  <c r="N28" i="44"/>
  <c r="L10" i="44"/>
  <c r="L9" i="44"/>
  <c r="H10" i="44"/>
  <c r="H9" i="44"/>
  <c r="H8" i="44"/>
  <c r="H7" i="44"/>
  <c r="D12" i="44"/>
  <c r="D11" i="44"/>
  <c r="D10" i="44"/>
  <c r="D9" i="44"/>
  <c r="D8" i="44"/>
  <c r="D7" i="44"/>
  <c r="M30" i="38" l="1"/>
  <c r="M31" i="38" l="1"/>
  <c r="K39" i="38" l="1"/>
  <c r="M33" i="38" l="1"/>
  <c r="M32" i="38" l="1"/>
  <c r="M29" i="38"/>
  <c r="M28" i="38"/>
  <c r="M39" i="38" l="1"/>
  <c r="M40" i="38"/>
  <c r="M41" i="38"/>
  <c r="M42" i="38"/>
  <c r="M43" i="38"/>
  <c r="K31" i="38"/>
  <c r="K34" i="38"/>
  <c r="K33" i="38"/>
  <c r="M38" i="38" l="1"/>
  <c r="M37" i="38"/>
  <c r="K43" i="38"/>
  <c r="K42" i="38"/>
  <c r="K41" i="38"/>
  <c r="K40" i="38"/>
  <c r="K38" i="38"/>
  <c r="K37" i="38"/>
  <c r="K32" i="38"/>
  <c r="K30" i="38"/>
  <c r="K29" i="38"/>
  <c r="K28" i="38"/>
  <c r="K35" i="38" l="1"/>
  <c r="K36" i="38"/>
  <c r="O23" i="38"/>
  <c r="K23" i="38"/>
  <c r="E23" i="38"/>
  <c r="I44" i="38" l="1"/>
  <c r="G44" i="38"/>
  <c r="AA10" i="38" l="1"/>
  <c r="AA9" i="38"/>
  <c r="AA11" i="38" l="1"/>
  <c r="Y85" i="38" l="1"/>
  <c r="Y84" i="38"/>
  <c r="Y83" i="38"/>
  <c r="Y82" i="38"/>
  <c r="Y81" i="38"/>
  <c r="Y80" i="38"/>
  <c r="Z80" i="38" s="1"/>
  <c r="Z81" i="38" l="1"/>
  <c r="Z82" i="38" s="1"/>
  <c r="Z83" i="38" s="1"/>
  <c r="Z84" i="38" s="1"/>
  <c r="Z85" i="38" s="1"/>
  <c r="Y22" i="38" l="1"/>
  <c r="W21" i="38"/>
  <c r="W20" i="38"/>
  <c r="W19" i="38"/>
  <c r="W18" i="38"/>
  <c r="W17" i="38"/>
  <c r="W16" i="38"/>
  <c r="W15" i="38"/>
  <c r="Y21" i="38" l="1"/>
  <c r="Y18" i="38"/>
  <c r="Y16" i="38"/>
  <c r="Y15" i="38"/>
  <c r="M44" i="38" l="1"/>
  <c r="K44" i="38"/>
  <c r="Y19" i="38"/>
  <c r="M46" i="38" l="1"/>
  <c r="K46" i="38"/>
  <c r="S8" i="38"/>
  <c r="Y20" i="38" l="1"/>
  <c r="Y17" i="38"/>
  <c r="S9" i="38"/>
  <c r="S11" i="38" l="1"/>
  <c r="K51" i="38"/>
  <c r="I51" i="38"/>
  <c r="O51" i="38"/>
  <c r="M51" i="38"/>
  <c r="G51" i="38"/>
  <c r="Y23" i="38"/>
  <c r="U39" i="38" s="1"/>
  <c r="D22" i="44" l="1"/>
  <c r="D17" i="44"/>
  <c r="Y39" i="38"/>
  <c r="W39" i="38"/>
  <c r="AC39" i="38"/>
  <c r="AA39" i="38"/>
  <c r="AA51" i="38"/>
  <c r="U51" i="38"/>
  <c r="Y51" i="38"/>
  <c r="W51" i="38"/>
  <c r="AC51" i="38"/>
  <c r="U41" i="38"/>
  <c r="W31" i="38"/>
  <c r="Y31" i="38"/>
  <c r="U30" i="38"/>
  <c r="Y34" i="38"/>
  <c r="AC31" i="38"/>
  <c r="AA31" i="38"/>
  <c r="U31" i="38"/>
  <c r="AC34" i="38"/>
  <c r="W34" i="38"/>
  <c r="U34" i="38"/>
  <c r="AA34" i="38"/>
  <c r="Y30" i="38"/>
  <c r="W30" i="38"/>
  <c r="AA30" i="38"/>
  <c r="AC30" i="38"/>
  <c r="AC32" i="38"/>
  <c r="AA32" i="38"/>
  <c r="U32" i="38"/>
  <c r="AC41" i="38" l="1"/>
  <c r="AA41" i="38"/>
  <c r="W41" i="38"/>
  <c r="Y41" i="38"/>
  <c r="AA78" i="38"/>
  <c r="AA79" i="38"/>
  <c r="AA81" i="38"/>
  <c r="AA77" i="38"/>
  <c r="AA80" i="38"/>
  <c r="AA82" i="38" l="1"/>
  <c r="Y45" i="38"/>
  <c r="AC45" i="38"/>
  <c r="U45" i="38"/>
  <c r="W45" i="38"/>
  <c r="AA45" i="38"/>
  <c r="Z86" i="38"/>
  <c r="AA83" i="38" s="1"/>
  <c r="Y65" i="38"/>
  <c r="Z78" i="38"/>
  <c r="AA75" i="38" s="1"/>
  <c r="Y32" i="38"/>
  <c r="W32" i="38"/>
  <c r="Y76" i="38"/>
  <c r="Y77" i="38"/>
  <c r="Y66" i="38"/>
  <c r="Z70" i="38"/>
  <c r="AA67" i="38" s="1"/>
  <c r="Y74" i="38"/>
  <c r="Y75" i="38"/>
  <c r="Y69" i="38"/>
  <c r="Y68" i="38"/>
  <c r="Y72" i="38"/>
  <c r="Z72" i="38" s="1"/>
  <c r="Y64" i="38"/>
  <c r="Z64" i="38" s="1"/>
  <c r="AA61" i="38" s="1"/>
  <c r="Y67" i="38"/>
  <c r="Y73" i="38"/>
  <c r="Z65" i="38" l="1"/>
  <c r="AA62" i="38" s="1"/>
  <c r="AA69" i="38"/>
  <c r="Z73" i="38"/>
  <c r="Z66" i="38" l="1"/>
  <c r="AA63" i="38" s="1"/>
  <c r="Z74" i="38"/>
  <c r="AA70" i="38"/>
  <c r="Z67" i="38" l="1"/>
  <c r="AA64" i="38" s="1"/>
  <c r="AA71" i="38"/>
  <c r="Z75" i="38"/>
  <c r="Z68" i="38" l="1"/>
  <c r="Z69" i="38" s="1"/>
  <c r="AA66" i="38" s="1"/>
  <c r="Z76" i="38"/>
  <c r="AA72" i="38"/>
  <c r="AA65" i="38" l="1"/>
  <c r="U33" i="38" s="1"/>
  <c r="AA73" i="38"/>
  <c r="Z77" i="38"/>
  <c r="AA74" i="38" s="1"/>
  <c r="U35" i="38" l="1"/>
  <c r="AC33" i="38"/>
  <c r="AC35" i="38" s="1"/>
  <c r="Y33" i="38"/>
  <c r="Y35" i="38" s="1"/>
  <c r="W33" i="38"/>
  <c r="W35" i="38" s="1"/>
  <c r="AA33" i="38"/>
  <c r="AA35" i="38" s="1"/>
  <c r="U40" i="38"/>
  <c r="D18" i="44" l="1"/>
  <c r="AC40" i="38"/>
  <c r="Y40" i="38"/>
  <c r="AA40" i="38"/>
  <c r="U42" i="38"/>
  <c r="W40" i="38"/>
  <c r="D19" i="44" l="1"/>
  <c r="Y42" i="38"/>
  <c r="U44" i="38"/>
  <c r="AC42" i="38"/>
  <c r="W42" i="38"/>
  <c r="AA42" i="38"/>
  <c r="U46" i="38" l="1"/>
  <c r="AA44" i="38"/>
  <c r="AA46" i="38" s="1"/>
  <c r="W44" i="38"/>
  <c r="Y44" i="38"/>
  <c r="AC44" i="38"/>
  <c r="AA49" i="38" l="1"/>
  <c r="AA50" i="38" s="1"/>
  <c r="U49" i="38"/>
  <c r="U50" i="38" s="1"/>
  <c r="G49" i="38"/>
  <c r="W46" i="38"/>
  <c r="AC46" i="38"/>
  <c r="M49" i="38"/>
  <c r="Y46" i="38"/>
  <c r="AA52" i="38" l="1"/>
  <c r="D20" i="44"/>
  <c r="U52" i="38"/>
  <c r="K49" i="38"/>
  <c r="K50" i="38" s="1"/>
  <c r="Y49" i="38"/>
  <c r="Y50" i="38" s="1"/>
  <c r="O49" i="38"/>
  <c r="O50" i="38" s="1"/>
  <c r="AC49" i="38"/>
  <c r="AC50" i="38" s="1"/>
  <c r="I49" i="38"/>
  <c r="I50" i="38" s="1"/>
  <c r="W49" i="38"/>
  <c r="W50" i="38" s="1"/>
  <c r="G50" i="38"/>
  <c r="D21" i="44" s="1"/>
  <c r="M50" i="38"/>
  <c r="Y52" i="38" l="1"/>
  <c r="I52" i="38"/>
  <c r="AC52" i="38"/>
  <c r="W52" i="38"/>
  <c r="K52" i="38"/>
  <c r="M52" i="38"/>
  <c r="O52" i="38"/>
  <c r="G52" i="38"/>
  <c r="N30" i="44" l="1"/>
  <c r="D23" i="44"/>
  <c r="N31" i="44"/>
  <c r="F31" i="44"/>
</calcChain>
</file>

<file path=xl/sharedStrings.xml><?xml version="1.0" encoding="utf-8"?>
<sst xmlns="http://schemas.openxmlformats.org/spreadsheetml/2006/main" count="153" uniqueCount="125">
  <si>
    <t>Fonds propres</t>
  </si>
  <si>
    <t>NS</t>
  </si>
  <si>
    <t>Wallonie</t>
  </si>
  <si>
    <t>Flandre</t>
  </si>
  <si>
    <t>Revenus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</si>
  <si>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</si>
  <si>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</si>
  <si>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</si>
  <si>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</si>
  <si>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</si>
  <si>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</si>
  <si>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</si>
  <si>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Prix total construction neuve</t>
  </si>
  <si>
    <t>Frais divers d'acte d'achat</t>
  </si>
  <si>
    <t>Total terrain garage et ou cave</t>
  </si>
  <si>
    <t>Total frais de notaires acte d'achat</t>
  </si>
  <si>
    <t>Total frais de notaires acte de prêt</t>
  </si>
  <si>
    <t>Main levée</t>
  </si>
  <si>
    <t>Indemnité de réemploi</t>
  </si>
  <si>
    <t>Montant total du rachat</t>
  </si>
  <si>
    <t>Bxl 1 achat</t>
  </si>
  <si>
    <t>Frais divers d'acte de crédit</t>
  </si>
  <si>
    <t>Demandeur 1</t>
  </si>
  <si>
    <t>Demandeur 2</t>
  </si>
  <si>
    <t>Adresse</t>
  </si>
  <si>
    <t>Code postal + Ville</t>
  </si>
  <si>
    <t>Téléphone</t>
  </si>
  <si>
    <t>Email</t>
  </si>
  <si>
    <t>Durée</t>
  </si>
  <si>
    <t>Taux</t>
  </si>
  <si>
    <t>Total chèque repas par mois</t>
  </si>
  <si>
    <t>Crédits en cours non rachetés</t>
  </si>
  <si>
    <t>Rachat de prêt</t>
  </si>
  <si>
    <t>Construction</t>
  </si>
  <si>
    <t>Tva 21%</t>
  </si>
  <si>
    <t>Total</t>
  </si>
  <si>
    <t>Montant</t>
  </si>
  <si>
    <t>Devis terrain garage / cave</t>
  </si>
  <si>
    <t>Valeur</t>
  </si>
  <si>
    <t>1 échéance</t>
  </si>
  <si>
    <t>Solde</t>
  </si>
  <si>
    <t xml:space="preserve">Type de prêt </t>
  </si>
  <si>
    <t>Crédits en cours</t>
  </si>
  <si>
    <t>Mensualité</t>
  </si>
  <si>
    <t>Montant original prêt</t>
  </si>
  <si>
    <t>R'boursement</t>
  </si>
  <si>
    <t>Nbr d'enfants &lt; 15 ans - Allocations</t>
  </si>
  <si>
    <t>Pens. alim. reçues enfants &lt; 15 ans</t>
  </si>
  <si>
    <t>Emprunt</t>
  </si>
  <si>
    <t>Frais d'acte d'achat (Barème J - A.R. 16/12/1950)</t>
  </si>
  <si>
    <t>Frais d'acte de prêt (Barème G - A.R. 16/12/1950)</t>
  </si>
  <si>
    <t>Credit foncier</t>
  </si>
  <si>
    <t>Elantis</t>
  </si>
  <si>
    <t>NA</t>
  </si>
  <si>
    <t>Rapport charges revenus</t>
  </si>
  <si>
    <t xml:space="preserve">Vente </t>
  </si>
  <si>
    <t xml:space="preserve">Prix d'achat </t>
  </si>
  <si>
    <t xml:space="preserve">Travaux </t>
  </si>
  <si>
    <t>Montant travaux</t>
  </si>
  <si>
    <t>Montant achat</t>
  </si>
  <si>
    <t>Montant achat/construction/travaux</t>
  </si>
  <si>
    <t xml:space="preserve">Autres négatif                                      </t>
  </si>
  <si>
    <t xml:space="preserve">Pension alimentaire payée               </t>
  </si>
  <si>
    <t xml:space="preserve">Valeurs locative future                 </t>
  </si>
  <si>
    <t xml:space="preserve">Valeurs locative existant                     </t>
  </si>
  <si>
    <t xml:space="preserve">Revenus de chômage                   </t>
  </si>
  <si>
    <t xml:space="preserve">Maladie/invalidité                           </t>
  </si>
  <si>
    <t xml:space="preserve">Pensions                                                </t>
  </si>
  <si>
    <t xml:space="preserve">Simulation crédit                      </t>
  </si>
  <si>
    <t xml:space="preserve">Devis construction                            </t>
  </si>
  <si>
    <t xml:space="preserve">Devis garage / cave                       </t>
  </si>
  <si>
    <t xml:space="preserve">Honoraires architecte                         </t>
  </si>
  <si>
    <t xml:space="preserve">Raccordement égouts                        </t>
  </si>
  <si>
    <t xml:space="preserve">Fonds propres                                </t>
  </si>
  <si>
    <t xml:space="preserve">Droits d'enregistrements     </t>
  </si>
  <si>
    <t xml:space="preserve">Droit d'enregistrements     </t>
  </si>
  <si>
    <t xml:space="preserve">Garanties immobilières         </t>
  </si>
  <si>
    <t xml:space="preserve">Devis terrain                               </t>
  </si>
  <si>
    <t xml:space="preserve">Enregistrement à                      </t>
  </si>
  <si>
    <t xml:space="preserve">Honoraires du notaire             </t>
  </si>
  <si>
    <t xml:space="preserve">Total frais de notaire                  </t>
  </si>
  <si>
    <t xml:space="preserve">Montant final du prêt                      </t>
  </si>
  <si>
    <t xml:space="preserve">Montant final du prêt                         </t>
  </si>
  <si>
    <t>Gage (Habitation financé)</t>
  </si>
  <si>
    <t>Emprunteurs</t>
  </si>
  <si>
    <t>Crédit foncier - Frais de dossier</t>
  </si>
  <si>
    <t>Autres positif: Handicap, Onem</t>
  </si>
  <si>
    <t xml:space="preserve">Revenus employée                             </t>
  </si>
  <si>
    <t>Revenus ouvrier (e)/fonctionnaire</t>
  </si>
  <si>
    <t xml:space="preserve">Crédits en cours à racheter       </t>
  </si>
  <si>
    <t xml:space="preserve">Total revenus                                 </t>
  </si>
  <si>
    <t xml:space="preserve">Revenu indépendant              </t>
  </si>
  <si>
    <t>Abattement droit d'enregistrement</t>
  </si>
  <si>
    <t xml:space="preserve">Elantis - Frais de dossier     </t>
  </si>
  <si>
    <t xml:space="preserve">Garanties immobilières            </t>
  </si>
  <si>
    <t>Revenus / dépenses réelles</t>
  </si>
  <si>
    <t>Wallonie 12,5%</t>
  </si>
  <si>
    <t>Wallonie 6%</t>
  </si>
  <si>
    <t>Flandre 10%</t>
  </si>
  <si>
    <t>Flandre 5%</t>
  </si>
  <si>
    <t xml:space="preserve">Frais de main levée            </t>
  </si>
  <si>
    <t xml:space="preserve">Taux dans le temps                     </t>
  </si>
  <si>
    <t xml:space="preserve">Solde actuel                               </t>
  </si>
  <si>
    <t>Remboursement par menualités constantes</t>
  </si>
  <si>
    <t>Montant du crédit</t>
  </si>
  <si>
    <t>Durée en années</t>
  </si>
  <si>
    <t>Nombres de paiements mensuels</t>
  </si>
  <si>
    <t>Formule de crédit</t>
  </si>
  <si>
    <t>Taux annuel</t>
  </si>
  <si>
    <t>Taux mensuel</t>
  </si>
  <si>
    <t>Données du crédit</t>
  </si>
  <si>
    <t>Frais de notaires acte d'achat</t>
  </si>
  <si>
    <t>Frais de notaires acte de prêt</t>
  </si>
  <si>
    <t xml:space="preserve">Frais de dossier     </t>
  </si>
  <si>
    <t>Quotité projet</t>
  </si>
  <si>
    <t xml:space="preserve">Quotité projet                                        </t>
  </si>
  <si>
    <t xml:space="preserve">Quotité projet                             </t>
  </si>
  <si>
    <t>Montant nécessaire hors frais de dossier</t>
  </si>
  <si>
    <t>Montant achat / construction</t>
  </si>
  <si>
    <t>Cette étude est réalisée à titre informatif et ne peut donc pas être considérée comme offre de crédit. Elle n'implique aucun engagement, ni de la part du client,</t>
  </si>
  <si>
    <t>ni de Jean Marc Minne ou un de ses représentants. Le taux et la quotité dépendent des éléments d'une demande de contrat signée.</t>
  </si>
  <si>
    <t>Remboursement par mois</t>
  </si>
  <si>
    <t>Remboursement après revision max.</t>
  </si>
  <si>
    <t>Mensualité max.</t>
  </si>
  <si>
    <t>Variable 10/1/1 -cap 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</si>
</sst>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d/mm/yy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rgb="FFFFFF00"/>
      <name val="Times New Roman"/>
      <family val="1"/>
    </font>
    <font>
      <sz val="10"/>
      <color theme="3"/>
      <name val="Times New Roman"/>
      <family val="1"/>
    </font>
    <font>
      <sz val="10"/>
      <color theme="0"/>
      <name val="Times New Roman"/>
      <family val="1"/>
    </font>
    <font>
      <sz val="10"/>
      <color rgb="FFC00000"/>
      <name val="Times New Roman"/>
      <family val="1"/>
    </font>
    <font>
      <sz val="10"/>
      <color theme="5" tint="-0.499984740745262"/>
      <name val="Times New Roman"/>
      <family val="1"/>
    </font>
    <font>
      <sz val="10"/>
      <color theme="6" tint="-0.499984740745262"/>
      <name val="Times New Roman"/>
      <family val="1"/>
    </font>
    <font>
      <sz val="10"/>
      <color rgb="FF000000"/>
      <name val="Times New Roman"/>
      <family val="1"/>
    </font>
    <font>
      <sz val="14"/>
      <color rgb="FFFFFF00"/>
      <name val="Times New Roman"/>
      <family val="1"/>
    </font>
    <font>
      <sz val="10"/>
      <color theme="9" tint="-0.24997711111789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b/>
      <u/>
      <sz val="10"/>
      <color theme="3"/>
      <name val="Times New Roman"/>
      <family val="1"/>
    </font>
    <font>
      <b/>
      <sz val="10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AFEC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966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283">
    <xf numFmtId="0" fontId="0" fillId="0" borderId="0" xfId="0"/>
    <xf numFmtId="10" fontId="4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horizontal="left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>
      <alignment vertical="center"/>
    </xf>
    <xf numFmtId="0" fontId="7" fillId="0" borderId="0" xfId="0" applyFont="1" applyFill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horizontal="left" vertical="center"/>
      <protection locked="0"/>
    </xf>
    <xf numFmtId="166" fontId="5" fillId="4" borderId="0" xfId="0" applyNumberFormat="1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 applyProtection="1">
      <alignment horizontal="left" vertic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>
      <alignment horizontal="center" vertical="center"/>
    </xf>
    <xf numFmtId="49" fontId="5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 applyProtection="1">
      <alignment vertical="center"/>
      <protection locked="0"/>
    </xf>
    <xf numFmtId="166" fontId="5" fillId="4" borderId="0" xfId="0" applyNumberFormat="1" applyFont="1" applyFill="1" applyBorder="1" applyAlignment="1" applyProtection="1">
      <alignment horizontal="center" vertical="center"/>
    </xf>
    <xf numFmtId="166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166" fontId="4" fillId="4" borderId="0" xfId="0" applyNumberFormat="1" applyFont="1" applyFill="1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4" fontId="5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 applyProtection="1">
      <alignment horizontal="left" vertical="center"/>
      <protection locked="0"/>
    </xf>
    <xf numFmtId="4" fontId="5" fillId="4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166" fontId="5" fillId="0" borderId="0" xfId="0" applyNumberFormat="1" applyFont="1" applyFill="1" applyBorder="1" applyAlignment="1">
      <alignment horizontal="center" vertical="center"/>
    </xf>
    <xf numFmtId="8" fontId="10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left" vertical="center"/>
    </xf>
    <xf numFmtId="166" fontId="8" fillId="4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5" fillId="4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horizontal="center" vertical="center"/>
    </xf>
    <xf numFmtId="166" fontId="4" fillId="4" borderId="0" xfId="0" applyNumberFormat="1" applyFont="1" applyFill="1" applyBorder="1" applyAlignment="1" applyProtection="1">
      <alignment horizontal="left" vertical="center"/>
      <protection locked="0"/>
    </xf>
    <xf numFmtId="164" fontId="5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  <protection locked="0"/>
    </xf>
    <xf numFmtId="165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12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Border="1" applyAlignment="1">
      <alignment horizontal="center" vertical="center"/>
    </xf>
    <xf numFmtId="0" fontId="5" fillId="4" borderId="0" xfId="4" applyFont="1" applyFill="1" applyBorder="1" applyAlignment="1">
      <alignment horizontal="left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11" fillId="4" borderId="0" xfId="0" applyFont="1" applyFill="1" applyBorder="1" applyAlignment="1">
      <alignment horizontal="center" vertical="center"/>
    </xf>
    <xf numFmtId="44" fontId="4" fillId="4" borderId="0" xfId="1" applyFont="1" applyFill="1" applyBorder="1" applyAlignment="1" applyProtection="1">
      <alignment horizontal="center" vertical="center"/>
      <protection locked="0"/>
    </xf>
    <xf numFmtId="164" fontId="10" fillId="4" borderId="0" xfId="0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horizontal="left" vertical="center"/>
    </xf>
    <xf numFmtId="166" fontId="10" fillId="4" borderId="0" xfId="0" applyNumberFormat="1" applyFont="1" applyFill="1" applyBorder="1" applyAlignment="1" applyProtection="1">
      <alignment horizontal="center" vertical="center"/>
      <protection locked="0"/>
    </xf>
    <xf numFmtId="164" fontId="5" fillId="4" borderId="0" xfId="0" applyNumberFormat="1" applyFont="1" applyFill="1" applyBorder="1" applyAlignment="1">
      <alignment horizontal="center" vertical="center"/>
    </xf>
    <xf numFmtId="10" fontId="6" fillId="4" borderId="0" xfId="0" applyNumberFormat="1" applyFont="1" applyFill="1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</xf>
    <xf numFmtId="9" fontId="4" fillId="4" borderId="0" xfId="0" applyNumberFormat="1" applyFont="1" applyFill="1" applyBorder="1" applyAlignment="1" applyProtection="1">
      <alignment horizontal="center" vertical="center"/>
    </xf>
    <xf numFmtId="10" fontId="4" fillId="4" borderId="0" xfId="0" applyNumberFormat="1" applyFont="1" applyFill="1" applyBorder="1" applyAlignment="1" applyProtection="1">
      <alignment horizontal="center" vertical="center"/>
    </xf>
    <xf numFmtId="0" fontId="10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Border="1" applyAlignment="1">
      <alignment vertical="center"/>
    </xf>
    <xf numFmtId="9" fontId="13" fillId="4" borderId="0" xfId="0" applyNumberFormat="1" applyFont="1" applyFill="1" applyBorder="1" applyAlignment="1" applyProtection="1">
      <alignment horizontal="center" vertical="center"/>
    </xf>
    <xf numFmtId="165" fontId="5" fillId="4" borderId="0" xfId="0" applyNumberFormat="1" applyFont="1" applyFill="1" applyBorder="1" applyAlignment="1" applyProtection="1">
      <alignment horizontal="center" vertical="center"/>
      <protection locked="0"/>
    </xf>
    <xf numFmtId="10" fontId="5" fillId="4" borderId="0" xfId="0" applyNumberFormat="1" applyFont="1" applyFill="1" applyBorder="1" applyAlignment="1" applyProtection="1">
      <alignment horizontal="center" vertical="center"/>
      <protection locked="0"/>
    </xf>
    <xf numFmtId="165" fontId="10" fillId="4" borderId="0" xfId="0" applyNumberFormat="1" applyFont="1" applyFill="1" applyBorder="1" applyAlignment="1" applyProtection="1">
      <alignment horizontal="center" vertical="center"/>
      <protection locked="0"/>
    </xf>
    <xf numFmtId="8" fontId="10" fillId="4" borderId="0" xfId="0" applyNumberFormat="1" applyFont="1" applyFill="1" applyBorder="1" applyAlignment="1" applyProtection="1">
      <alignment horizontal="center" vertical="center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8" fontId="4" fillId="4" borderId="0" xfId="0" applyNumberFormat="1" applyFont="1" applyFill="1" applyBorder="1" applyAlignment="1" applyProtection="1">
      <alignment horizontal="center" vertical="center"/>
    </xf>
    <xf numFmtId="44" fontId="10" fillId="4" borderId="0" xfId="1" applyFont="1" applyFill="1" applyBorder="1" applyAlignment="1" applyProtection="1">
      <alignment vertical="center"/>
      <protection locked="0"/>
    </xf>
    <xf numFmtId="49" fontId="4" fillId="4" borderId="0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center"/>
    </xf>
    <xf numFmtId="10" fontId="5" fillId="4" borderId="0" xfId="0" applyNumberFormat="1" applyFont="1" applyFill="1" applyBorder="1" applyAlignment="1" applyProtection="1">
      <alignment horizontal="center" vertical="center"/>
    </xf>
    <xf numFmtId="166" fontId="4" fillId="4" borderId="1" xfId="0" applyNumberFormat="1" applyFont="1" applyFill="1" applyBorder="1" applyAlignment="1">
      <alignment horizontal="left" vertic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2" applyNumberFormat="1" applyFont="1" applyFill="1" applyBorder="1" applyAlignment="1">
      <alignment horizontal="right" vertical="center"/>
    </xf>
    <xf numFmtId="166" fontId="4" fillId="4" borderId="1" xfId="0" applyNumberFormat="1" applyFont="1" applyFill="1" applyBorder="1" applyAlignment="1">
      <alignment vertical="center"/>
    </xf>
    <xf numFmtId="168" fontId="4" fillId="4" borderId="1" xfId="0" applyNumberFormat="1" applyFont="1" applyFill="1" applyBorder="1" applyAlignment="1" applyProtection="1">
      <alignment horizontal="right" vertical="center"/>
      <protection locked="0"/>
    </xf>
    <xf numFmtId="0" fontId="4" fillId="4" borderId="1" xfId="0" applyFont="1" applyFill="1" applyBorder="1" applyAlignment="1" applyProtection="1">
      <alignment vertical="center"/>
      <protection locked="0"/>
    </xf>
    <xf numFmtId="166" fontId="4" fillId="4" borderId="1" xfId="0" applyNumberFormat="1" applyFont="1" applyFill="1" applyBorder="1" applyAlignment="1" applyProtection="1">
      <alignment horizontal="right" vertical="center"/>
      <protection locked="0"/>
    </xf>
    <xf numFmtId="167" fontId="4" fillId="4" borderId="1" xfId="2" applyNumberFormat="1" applyFont="1" applyFill="1" applyBorder="1" applyAlignment="1">
      <alignment horizontal="right" vertical="center"/>
    </xf>
    <xf numFmtId="0" fontId="5" fillId="4" borderId="0" xfId="0" applyFont="1" applyFill="1" applyBorder="1"/>
    <xf numFmtId="9" fontId="10" fillId="4" borderId="0" xfId="0" applyNumberFormat="1" applyFont="1" applyFill="1" applyBorder="1" applyAlignment="1" applyProtection="1">
      <alignment horizontal="center" vertical="center"/>
    </xf>
    <xf numFmtId="166" fontId="4" fillId="4" borderId="1" xfId="2" applyNumberFormat="1" applyFont="1" applyFill="1" applyBorder="1" applyAlignment="1">
      <alignment horizontal="right" vertical="center"/>
    </xf>
    <xf numFmtId="166" fontId="4" fillId="4" borderId="1" xfId="0" applyNumberFormat="1" applyFont="1" applyFill="1" applyBorder="1" applyAlignment="1" applyProtection="1">
      <alignment horizontal="left" vertical="center"/>
      <protection locked="0"/>
    </xf>
    <xf numFmtId="166" fontId="4" fillId="4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right" vertical="center"/>
      <protection locked="0"/>
    </xf>
    <xf numFmtId="0" fontId="5" fillId="4" borderId="1" xfId="0" applyFont="1" applyFill="1" applyBorder="1" applyAlignment="1" applyProtection="1">
      <alignment vertical="center"/>
      <protection locked="0"/>
    </xf>
    <xf numFmtId="165" fontId="4" fillId="4" borderId="1" xfId="2" applyNumberFormat="1" applyFont="1" applyFill="1" applyBorder="1" applyAlignment="1">
      <alignment horizontal="right" vertical="center"/>
    </xf>
    <xf numFmtId="167" fontId="14" fillId="4" borderId="1" xfId="0" applyNumberFormat="1" applyFont="1" applyFill="1" applyBorder="1" applyAlignment="1">
      <alignment horizontal="right" vertical="center"/>
    </xf>
    <xf numFmtId="1" fontId="4" fillId="4" borderId="0" xfId="0" applyNumberFormat="1" applyFont="1" applyFill="1" applyBorder="1" applyAlignment="1" applyProtection="1">
      <alignment horizontal="center" vertical="center"/>
    </xf>
    <xf numFmtId="0" fontId="10" fillId="4" borderId="0" xfId="0" applyFont="1" applyFill="1" applyAlignment="1" applyProtection="1">
      <alignment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6" fontId="9" fillId="9" borderId="2" xfId="0" applyNumberFormat="1" applyFont="1" applyFill="1" applyBorder="1" applyAlignment="1" applyProtection="1">
      <alignment horizontal="center" vertical="center"/>
      <protection locked="0"/>
    </xf>
    <xf numFmtId="0" fontId="9" fillId="9" borderId="2" xfId="0" applyFont="1" applyFill="1" applyBorder="1" applyAlignment="1" applyProtection="1">
      <alignment horizontal="center" vertical="center"/>
      <protection locked="0"/>
    </xf>
    <xf numFmtId="0" fontId="9" fillId="9" borderId="2" xfId="0" applyFont="1" applyFill="1" applyBorder="1" applyAlignment="1" applyProtection="1">
      <alignment horizontal="left" vertical="center"/>
      <protection locked="0"/>
    </xf>
    <xf numFmtId="4" fontId="9" fillId="9" borderId="2" xfId="0" applyNumberFormat="1" applyFont="1" applyFill="1" applyBorder="1" applyAlignment="1" applyProtection="1">
      <alignment horizontal="center" vertical="center"/>
      <protection locked="0"/>
    </xf>
    <xf numFmtId="166" fontId="9" fillId="9" borderId="2" xfId="0" applyNumberFormat="1" applyFont="1" applyFill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vertical="center"/>
      <protection locked="0"/>
    </xf>
    <xf numFmtId="0" fontId="5" fillId="4" borderId="16" xfId="0" applyFont="1" applyFill="1" applyBorder="1" applyAlignment="1" applyProtection="1">
      <alignment vertical="center"/>
      <protection locked="0"/>
    </xf>
    <xf numFmtId="0" fontId="5" fillId="4" borderId="17" xfId="0" applyFont="1" applyFill="1" applyBorder="1" applyAlignment="1" applyProtection="1">
      <alignment vertical="center"/>
      <protection locked="0"/>
    </xf>
    <xf numFmtId="0" fontId="5" fillId="4" borderId="18" xfId="0" applyFont="1" applyFill="1" applyBorder="1" applyAlignment="1" applyProtection="1">
      <alignment vertical="center"/>
      <protection locked="0"/>
    </xf>
    <xf numFmtId="0" fontId="9" fillId="9" borderId="1" xfId="0" applyFont="1" applyFill="1" applyBorder="1" applyAlignment="1" applyProtection="1">
      <alignment horizontal="center" vertical="center"/>
      <protection locked="0"/>
    </xf>
    <xf numFmtId="0" fontId="9" fillId="6" borderId="1" xfId="0" applyFont="1" applyFill="1" applyBorder="1" applyAlignment="1" applyProtection="1">
      <alignment horizontal="left" vertical="center"/>
      <protection locked="0"/>
    </xf>
    <xf numFmtId="166" fontId="9" fillId="6" borderId="1" xfId="0" applyNumberFormat="1" applyFont="1" applyFill="1" applyBorder="1" applyAlignment="1" applyProtection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4" fillId="4" borderId="16" xfId="2" applyFont="1" applyFill="1" applyBorder="1" applyAlignment="1">
      <alignment vertical="center"/>
    </xf>
    <xf numFmtId="0" fontId="5" fillId="4" borderId="24" xfId="0" applyFont="1" applyFill="1" applyBorder="1" applyAlignment="1" applyProtection="1">
      <alignment vertical="center"/>
      <protection locked="0"/>
    </xf>
    <xf numFmtId="0" fontId="4" fillId="4" borderId="24" xfId="0" applyFont="1" applyFill="1" applyBorder="1" applyAlignment="1" applyProtection="1">
      <alignment vertical="center"/>
      <protection locked="0"/>
    </xf>
    <xf numFmtId="166" fontId="5" fillId="4" borderId="16" xfId="0" applyNumberFormat="1" applyFont="1" applyFill="1" applyBorder="1" applyAlignment="1" applyProtection="1">
      <alignment horizontal="center" vertical="center"/>
      <protection locked="0"/>
    </xf>
    <xf numFmtId="166" fontId="5" fillId="4" borderId="24" xfId="0" applyNumberFormat="1" applyFont="1" applyFill="1" applyBorder="1" applyAlignment="1" applyProtection="1">
      <alignment horizontal="center" vertical="center"/>
      <protection locked="0"/>
    </xf>
    <xf numFmtId="8" fontId="5" fillId="4" borderId="24" xfId="0" applyNumberFormat="1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>
      <alignment vertical="center"/>
    </xf>
    <xf numFmtId="0" fontId="5" fillId="4" borderId="9" xfId="0" applyFont="1" applyFill="1" applyBorder="1" applyAlignment="1">
      <alignment vertical="center"/>
    </xf>
    <xf numFmtId="166" fontId="4" fillId="4" borderId="16" xfId="0" applyNumberFormat="1" applyFont="1" applyFill="1" applyBorder="1" applyAlignment="1">
      <alignment horizontal="center" vertical="center"/>
    </xf>
    <xf numFmtId="166" fontId="4" fillId="4" borderId="24" xfId="0" applyNumberFormat="1" applyFont="1" applyFill="1" applyBorder="1" applyAlignment="1">
      <alignment horizontal="center" vertical="center"/>
    </xf>
    <xf numFmtId="166" fontId="4" fillId="4" borderId="24" xfId="0" applyNumberFormat="1" applyFont="1" applyFill="1" applyBorder="1" applyAlignment="1" applyProtection="1">
      <alignment horizontal="center" vertical="center"/>
      <protection locked="0"/>
    </xf>
    <xf numFmtId="0" fontId="4" fillId="4" borderId="25" xfId="0" applyFont="1" applyFill="1" applyBorder="1" applyAlignment="1" applyProtection="1">
      <alignment vertical="center"/>
      <protection locked="0"/>
    </xf>
    <xf numFmtId="166" fontId="5" fillId="4" borderId="25" xfId="0" applyNumberFormat="1" applyFont="1" applyFill="1" applyBorder="1" applyAlignment="1" applyProtection="1">
      <alignment horizontal="center" vertical="center"/>
      <protection locked="0"/>
    </xf>
    <xf numFmtId="166" fontId="4" fillId="4" borderId="25" xfId="0" applyNumberFormat="1" applyFont="1" applyFill="1" applyBorder="1" applyAlignment="1" applyProtection="1">
      <alignment horizontal="center" vertical="center" wrapText="1"/>
      <protection locked="0" hidden="1"/>
    </xf>
    <xf numFmtId="0" fontId="5" fillId="4" borderId="1" xfId="0" applyFont="1" applyFill="1" applyBorder="1" applyAlignment="1">
      <alignment vertical="center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10" fillId="4" borderId="16" xfId="0" applyFont="1" applyFill="1" applyBorder="1" applyAlignment="1" applyProtection="1">
      <alignment horizontal="left" vertical="center"/>
      <protection locked="0"/>
    </xf>
    <xf numFmtId="0" fontId="10" fillId="4" borderId="24" xfId="0" applyFont="1" applyFill="1" applyBorder="1" applyAlignment="1" applyProtection="1">
      <alignment horizontal="left" vertical="center"/>
      <protection locked="0"/>
    </xf>
    <xf numFmtId="0" fontId="10" fillId="4" borderId="26" xfId="0" applyFont="1" applyFill="1" applyBorder="1" applyAlignment="1" applyProtection="1">
      <alignment horizontal="left" vertical="center"/>
      <protection locked="0"/>
    </xf>
    <xf numFmtId="166" fontId="5" fillId="0" borderId="18" xfId="0" applyNumberFormat="1" applyFont="1" applyFill="1" applyBorder="1" applyAlignment="1" applyProtection="1">
      <alignment horizontal="center" vertical="center"/>
      <protection locked="0"/>
    </xf>
    <xf numFmtId="166" fontId="4" fillId="4" borderId="16" xfId="0" applyNumberFormat="1" applyFont="1" applyFill="1" applyBorder="1" applyAlignment="1" applyProtection="1">
      <alignment horizontal="center" vertical="center"/>
    </xf>
    <xf numFmtId="166" fontId="4" fillId="4" borderId="24" xfId="0" applyNumberFormat="1" applyFont="1" applyFill="1" applyBorder="1" applyAlignment="1" applyProtection="1">
      <alignment horizontal="center" vertical="center"/>
    </xf>
    <xf numFmtId="166" fontId="4" fillId="4" borderId="26" xfId="0" applyNumberFormat="1" applyFont="1" applyFill="1" applyBorder="1" applyAlignment="1" applyProtection="1">
      <alignment horizontal="center" vertical="center"/>
    </xf>
    <xf numFmtId="166" fontId="5" fillId="4" borderId="26" xfId="0" applyNumberFormat="1" applyFont="1" applyFill="1" applyBorder="1" applyAlignment="1" applyProtection="1">
      <alignment horizontal="center" vertical="center"/>
      <protection locked="0"/>
    </xf>
    <xf numFmtId="10" fontId="5" fillId="4" borderId="16" xfId="0" applyNumberFormat="1" applyFont="1" applyFill="1" applyBorder="1" applyAlignment="1" applyProtection="1">
      <alignment horizontal="center" vertical="center"/>
      <protection locked="0"/>
    </xf>
    <xf numFmtId="10" fontId="5" fillId="4" borderId="24" xfId="0" applyNumberFormat="1" applyFont="1" applyFill="1" applyBorder="1" applyAlignment="1" applyProtection="1">
      <alignment horizontal="center" vertical="center"/>
      <protection locked="0"/>
    </xf>
    <xf numFmtId="10" fontId="5" fillId="4" borderId="26" xfId="0" applyNumberFormat="1" applyFont="1" applyFill="1" applyBorder="1" applyAlignment="1" applyProtection="1">
      <alignment horizontal="center" vertical="center"/>
      <protection locked="0"/>
    </xf>
    <xf numFmtId="166" fontId="5" fillId="0" borderId="1" xfId="0" applyNumberFormat="1" applyFont="1" applyFill="1" applyBorder="1" applyAlignment="1" applyProtection="1">
      <alignment horizontal="center" vertical="center"/>
      <protection locked="0"/>
    </xf>
    <xf numFmtId="169" fontId="5" fillId="4" borderId="16" xfId="0" applyNumberFormat="1" applyFont="1" applyFill="1" applyBorder="1" applyAlignment="1" applyProtection="1">
      <alignment horizontal="center" vertical="center"/>
      <protection locked="0"/>
    </xf>
    <xf numFmtId="169" fontId="5" fillId="4" borderId="24" xfId="0" applyNumberFormat="1" applyFont="1" applyFill="1" applyBorder="1" applyAlignment="1" applyProtection="1">
      <alignment horizontal="center" vertical="center"/>
      <protection locked="0"/>
    </xf>
    <xf numFmtId="169" fontId="5" fillId="4" borderId="26" xfId="0" applyNumberFormat="1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>
      <alignment vertical="center"/>
    </xf>
    <xf numFmtId="0" fontId="11" fillId="4" borderId="6" xfId="0" applyFont="1" applyFill="1" applyBorder="1" applyAlignment="1">
      <alignment vertical="center"/>
    </xf>
    <xf numFmtId="0" fontId="5" fillId="4" borderId="7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>
      <alignment vertical="center"/>
    </xf>
    <xf numFmtId="0" fontId="5" fillId="4" borderId="9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>
      <alignment horizontal="left" vertical="center"/>
    </xf>
    <xf numFmtId="0" fontId="4" fillId="4" borderId="8" xfId="0" applyFont="1" applyFill="1" applyBorder="1" applyAlignment="1" applyProtection="1">
      <alignment vertical="center"/>
      <protection locked="0"/>
    </xf>
    <xf numFmtId="0" fontId="5" fillId="4" borderId="13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5" xfId="0" applyFont="1" applyFill="1" applyBorder="1" applyAlignment="1" applyProtection="1">
      <alignment vertical="center"/>
      <protection locked="0"/>
    </xf>
    <xf numFmtId="166" fontId="5" fillId="4" borderId="24" xfId="0" applyNumberFormat="1" applyFont="1" applyFill="1" applyBorder="1" applyAlignment="1">
      <alignment horizontal="center" vertical="center"/>
    </xf>
    <xf numFmtId="166" fontId="5" fillId="4" borderId="26" xfId="0" applyNumberFormat="1" applyFont="1" applyFill="1" applyBorder="1" applyAlignment="1">
      <alignment horizontal="center" vertical="center"/>
    </xf>
    <xf numFmtId="8" fontId="5" fillId="0" borderId="16" xfId="0" applyNumberFormat="1" applyFont="1" applyFill="1" applyBorder="1" applyAlignment="1" applyProtection="1">
      <alignment horizontal="center" vertical="center"/>
      <protection locked="0"/>
    </xf>
    <xf numFmtId="8" fontId="5" fillId="0" borderId="24" xfId="0" applyNumberFormat="1" applyFont="1" applyFill="1" applyBorder="1" applyAlignment="1" applyProtection="1">
      <alignment horizontal="center" vertical="center"/>
      <protection locked="0"/>
    </xf>
    <xf numFmtId="8" fontId="5" fillId="0" borderId="26" xfId="0" applyNumberFormat="1" applyFont="1" applyFill="1" applyBorder="1" applyAlignment="1" applyProtection="1">
      <alignment horizontal="center" vertical="center"/>
      <protection locked="0"/>
    </xf>
    <xf numFmtId="166" fontId="5" fillId="0" borderId="16" xfId="0" applyNumberFormat="1" applyFont="1" applyFill="1" applyBorder="1" applyAlignment="1" applyProtection="1">
      <alignment horizontal="center" vertical="center"/>
      <protection locked="0"/>
    </xf>
    <xf numFmtId="166" fontId="5" fillId="0" borderId="24" xfId="0" applyNumberFormat="1" applyFont="1" applyFill="1" applyBorder="1" applyAlignment="1" applyProtection="1">
      <alignment horizontal="center" vertical="center"/>
      <protection locked="0"/>
    </xf>
    <xf numFmtId="166" fontId="5" fillId="0" borderId="26" xfId="0" applyNumberFormat="1" applyFont="1" applyFill="1" applyBorder="1" applyAlignment="1" applyProtection="1">
      <alignment horizontal="center" vertical="center"/>
      <protection locked="0"/>
    </xf>
    <xf numFmtId="166" fontId="5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5" xfId="4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8" xfId="4" applyFont="1" applyFill="1" applyBorder="1" applyAlignment="1">
      <alignment horizontal="left" vertical="center"/>
    </xf>
    <xf numFmtId="0" fontId="5" fillId="4" borderId="13" xfId="4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center" vertical="center"/>
    </xf>
    <xf numFmtId="166" fontId="5" fillId="4" borderId="18" xfId="0" applyNumberFormat="1" applyFont="1" applyFill="1" applyBorder="1" applyAlignment="1" applyProtection="1">
      <alignment horizontal="center" vertical="center"/>
      <protection locked="0"/>
    </xf>
    <xf numFmtId="49" fontId="5" fillId="4" borderId="24" xfId="0" applyNumberFormat="1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left" vertical="center"/>
      <protection locked="0"/>
    </xf>
    <xf numFmtId="0" fontId="5" fillId="4" borderId="6" xfId="0" applyFont="1" applyFill="1" applyBorder="1" applyAlignment="1" applyProtection="1">
      <alignment vertical="center"/>
      <protection locked="0"/>
    </xf>
    <xf numFmtId="0" fontId="5" fillId="0" borderId="7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 applyProtection="1">
      <alignment horizontal="left" vertical="center"/>
      <protection locked="0"/>
    </xf>
    <xf numFmtId="0" fontId="5" fillId="0" borderId="9" xfId="0" applyFont="1" applyFill="1" applyBorder="1" applyAlignment="1" applyProtection="1">
      <alignment vertical="center"/>
      <protection locked="0"/>
    </xf>
    <xf numFmtId="0" fontId="4" fillId="4" borderId="13" xfId="0" applyFont="1" applyFill="1" applyBorder="1" applyAlignment="1" applyProtection="1">
      <alignment vertical="center"/>
      <protection locked="0"/>
    </xf>
    <xf numFmtId="0" fontId="5" fillId="4" borderId="14" xfId="0" applyFont="1" applyFill="1" applyBorder="1" applyAlignment="1" applyProtection="1">
      <alignment vertical="center"/>
      <protection locked="0"/>
    </xf>
    <xf numFmtId="0" fontId="5" fillId="0" borderId="15" xfId="0" applyFont="1" applyFill="1" applyBorder="1" applyAlignment="1" applyProtection="1">
      <alignment vertical="center"/>
      <protection locked="0"/>
    </xf>
    <xf numFmtId="0" fontId="4" fillId="4" borderId="5" xfId="3" applyFont="1" applyFill="1" applyBorder="1" applyAlignment="1">
      <alignment horizontal="left" vertical="center"/>
    </xf>
    <xf numFmtId="0" fontId="4" fillId="4" borderId="8" xfId="3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164" fontId="5" fillId="8" borderId="1" xfId="0" applyNumberFormat="1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left" vertical="center"/>
    </xf>
    <xf numFmtId="0" fontId="4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 applyProtection="1">
      <alignment vertical="center"/>
      <protection locked="0"/>
    </xf>
    <xf numFmtId="0" fontId="5" fillId="9" borderId="8" xfId="0" applyFont="1" applyFill="1" applyBorder="1" applyAlignment="1">
      <alignment horizontal="left" vertical="center"/>
    </xf>
    <xf numFmtId="0" fontId="4" fillId="9" borderId="3" xfId="0" applyFont="1" applyFill="1" applyBorder="1" applyAlignment="1">
      <alignment horizontal="center" vertical="center"/>
    </xf>
    <xf numFmtId="0" fontId="5" fillId="9" borderId="9" xfId="0" applyFont="1" applyFill="1" applyBorder="1" applyAlignment="1" applyProtection="1">
      <alignment vertical="center"/>
      <protection locked="0"/>
    </xf>
    <xf numFmtId="0" fontId="5" fillId="9" borderId="8" xfId="0" applyFont="1" applyFill="1" applyBorder="1" applyAlignment="1" applyProtection="1">
      <alignment horizontal="left" vertical="center"/>
      <protection locked="0"/>
    </xf>
    <xf numFmtId="0" fontId="4" fillId="9" borderId="3" xfId="0" applyFont="1" applyFill="1" applyBorder="1" applyAlignment="1" applyProtection="1">
      <alignment horizontal="center" vertical="center"/>
      <protection locked="0"/>
    </xf>
    <xf numFmtId="0" fontId="5" fillId="9" borderId="13" xfId="0" applyFont="1" applyFill="1" applyBorder="1" applyAlignment="1" applyProtection="1">
      <alignment horizontal="left" vertical="center"/>
      <protection locked="0"/>
    </xf>
    <xf numFmtId="0" fontId="11" fillId="9" borderId="14" xfId="0" applyFont="1" applyFill="1" applyBorder="1" applyAlignment="1" applyProtection="1">
      <alignment horizontal="center" vertical="center"/>
      <protection locked="0"/>
    </xf>
    <xf numFmtId="0" fontId="5" fillId="9" borderId="15" xfId="0" applyFont="1" applyFill="1" applyBorder="1" applyAlignment="1" applyProtection="1">
      <alignment vertical="center"/>
      <protection locked="0"/>
    </xf>
    <xf numFmtId="164" fontId="5" fillId="5" borderId="1" xfId="0" applyNumberFormat="1" applyFont="1" applyFill="1" applyBorder="1" applyAlignment="1">
      <alignment horizontal="center" vertical="center"/>
    </xf>
    <xf numFmtId="0" fontId="9" fillId="11" borderId="27" xfId="0" applyFont="1" applyFill="1" applyBorder="1" applyAlignment="1">
      <alignment horizontal="left" vertical="center"/>
    </xf>
    <xf numFmtId="0" fontId="9" fillId="11" borderId="11" xfId="0" applyFont="1" applyFill="1" applyBorder="1" applyAlignment="1">
      <alignment horizontal="center" vertical="center"/>
    </xf>
    <xf numFmtId="0" fontId="9" fillId="11" borderId="12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9" fillId="11" borderId="1" xfId="0" applyFont="1" applyFill="1" applyBorder="1" applyAlignment="1" applyProtection="1">
      <alignment horizontal="center" vertical="center"/>
      <protection locked="0"/>
    </xf>
    <xf numFmtId="0" fontId="5" fillId="8" borderId="5" xfId="0" applyFont="1" applyFill="1" applyBorder="1" applyAlignment="1">
      <alignment horizontal="left" vertical="center"/>
    </xf>
    <xf numFmtId="0" fontId="4" fillId="8" borderId="6" xfId="0" applyFont="1" applyFill="1" applyBorder="1" applyAlignment="1">
      <alignment horizontal="center" vertical="center"/>
    </xf>
    <xf numFmtId="0" fontId="5" fillId="8" borderId="7" xfId="0" applyFont="1" applyFill="1" applyBorder="1" applyAlignment="1" applyProtection="1">
      <alignment vertical="center"/>
      <protection locked="0"/>
    </xf>
    <xf numFmtId="0" fontId="5" fillId="8" borderId="8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center" vertical="center"/>
    </xf>
    <xf numFmtId="0" fontId="5" fillId="8" borderId="9" xfId="0" applyFont="1" applyFill="1" applyBorder="1" applyAlignment="1" applyProtection="1">
      <alignment vertical="center"/>
      <protection locked="0"/>
    </xf>
    <xf numFmtId="0" fontId="5" fillId="8" borderId="8" xfId="0" applyFont="1" applyFill="1" applyBorder="1" applyAlignment="1" applyProtection="1">
      <alignment horizontal="left" vertical="center"/>
      <protection locked="0"/>
    </xf>
    <xf numFmtId="0" fontId="4" fillId="8" borderId="3" xfId="0" applyFont="1" applyFill="1" applyBorder="1" applyAlignment="1" applyProtection="1">
      <alignment horizontal="center" vertical="center"/>
      <protection locked="0"/>
    </xf>
    <xf numFmtId="0" fontId="5" fillId="8" borderId="13" xfId="0" applyFont="1" applyFill="1" applyBorder="1" applyAlignment="1" applyProtection="1">
      <alignment horizontal="left" vertical="center"/>
      <protection locked="0"/>
    </xf>
    <xf numFmtId="0" fontId="11" fillId="8" borderId="14" xfId="0" applyFont="1" applyFill="1" applyBorder="1" applyAlignment="1" applyProtection="1">
      <alignment horizontal="center" vertical="center"/>
      <protection locked="0"/>
    </xf>
    <xf numFmtId="0" fontId="5" fillId="8" borderId="15" xfId="0" applyFont="1" applyFill="1" applyBorder="1" applyAlignment="1" applyProtection="1">
      <alignment vertical="center"/>
      <protection locked="0"/>
    </xf>
    <xf numFmtId="0" fontId="9" fillId="10" borderId="1" xfId="0" applyFont="1" applyFill="1" applyBorder="1" applyAlignment="1" applyProtection="1">
      <alignment horizontal="center" vertical="center"/>
      <protection locked="0"/>
    </xf>
    <xf numFmtId="0" fontId="9" fillId="10" borderId="10" xfId="0" applyFont="1" applyFill="1" applyBorder="1" applyAlignment="1" applyProtection="1">
      <alignment horizontal="left" vertical="center"/>
      <protection locked="0"/>
    </xf>
    <xf numFmtId="0" fontId="5" fillId="10" borderId="11" xfId="0" applyFont="1" applyFill="1" applyBorder="1" applyAlignment="1">
      <alignment vertical="center"/>
    </xf>
    <xf numFmtId="0" fontId="5" fillId="10" borderId="12" xfId="0" applyFont="1" applyFill="1" applyBorder="1" applyAlignment="1">
      <alignment vertical="center"/>
    </xf>
    <xf numFmtId="166" fontId="9" fillId="10" borderId="1" xfId="0" applyNumberFormat="1" applyFont="1" applyFill="1" applyBorder="1" applyAlignment="1" applyProtection="1">
      <alignment horizontal="center" vertical="center"/>
      <protection locked="0"/>
    </xf>
    <xf numFmtId="164" fontId="5" fillId="8" borderId="2" xfId="0" applyNumberFormat="1" applyFont="1" applyFill="1" applyBorder="1" applyAlignment="1">
      <alignment horizontal="center" vertical="center"/>
    </xf>
    <xf numFmtId="164" fontId="5" fillId="9" borderId="2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vertical="center"/>
    </xf>
    <xf numFmtId="0" fontId="5" fillId="4" borderId="14" xfId="0" applyFont="1" applyFill="1" applyBorder="1" applyAlignment="1">
      <alignment vertical="center"/>
    </xf>
    <xf numFmtId="0" fontId="5" fillId="4" borderId="13" xfId="0" applyFont="1" applyFill="1" applyBorder="1" applyAlignment="1">
      <alignment vertical="center"/>
    </xf>
    <xf numFmtId="0" fontId="15" fillId="7" borderId="0" xfId="0" applyFont="1" applyFill="1" applyBorder="1" applyAlignment="1" applyProtection="1">
      <alignment horizontal="left" vertical="center"/>
      <protection locked="0"/>
    </xf>
    <xf numFmtId="0" fontId="5" fillId="4" borderId="3" xfId="0" applyFont="1" applyFill="1" applyBorder="1" applyAlignment="1">
      <alignment vertical="center"/>
    </xf>
    <xf numFmtId="0" fontId="5" fillId="4" borderId="15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left" vertical="center"/>
    </xf>
    <xf numFmtId="0" fontId="5" fillId="0" borderId="0" xfId="4" applyFont="1" applyFill="1" applyBorder="1" applyAlignment="1">
      <alignment horizontal="left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10" fontId="5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Border="1" applyAlignment="1">
      <alignment vertical="center"/>
    </xf>
    <xf numFmtId="0" fontId="20" fillId="0" borderId="0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Border="1" applyAlignment="1">
      <alignment vertical="center"/>
    </xf>
    <xf numFmtId="10" fontId="18" fillId="0" borderId="0" xfId="0" applyNumberFormat="1" applyFont="1" applyFill="1" applyBorder="1" applyAlignment="1">
      <alignment horizontal="left" vertical="center"/>
    </xf>
    <xf numFmtId="165" fontId="18" fillId="0" borderId="0" xfId="0" applyNumberFormat="1" applyFont="1" applyFill="1" applyBorder="1" applyAlignment="1">
      <alignment horizontal="left" vertical="center"/>
    </xf>
    <xf numFmtId="8" fontId="18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9" fillId="6" borderId="10" xfId="0" applyFont="1" applyFill="1" applyBorder="1" applyAlignment="1" applyProtection="1">
      <alignment horizontal="center" vertical="center"/>
      <protection locked="0"/>
    </xf>
    <xf numFmtId="0" fontId="9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9" borderId="10" xfId="0" applyFont="1" applyFill="1" applyBorder="1" applyAlignment="1" applyProtection="1">
      <alignment horizontal="center" vertical="center"/>
      <protection locked="0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4" borderId="19" xfId="0" applyFont="1" applyFill="1" applyBorder="1" applyAlignment="1" applyProtection="1">
      <alignment horizontal="left" vertical="center"/>
      <protection locked="0"/>
    </xf>
    <xf numFmtId="0" fontId="0" fillId="0" borderId="20" xfId="0" applyBorder="1" applyAlignment="1"/>
    <xf numFmtId="0" fontId="0" fillId="0" borderId="21" xfId="0" applyBorder="1" applyAlignment="1"/>
    <xf numFmtId="0" fontId="5" fillId="4" borderId="22" xfId="0" applyFont="1" applyFill="1" applyBorder="1" applyAlignment="1" applyProtection="1">
      <alignment horizontal="left" vertical="center"/>
      <protection locked="0"/>
    </xf>
    <xf numFmtId="0" fontId="0" fillId="0" borderId="4" xfId="0" applyBorder="1" applyAlignment="1"/>
    <xf numFmtId="0" fontId="0" fillId="0" borderId="23" xfId="0" applyBorder="1" applyAlignment="1"/>
    <xf numFmtId="0" fontId="5" fillId="4" borderId="29" xfId="0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/>
    <xf numFmtId="0" fontId="0" fillId="0" borderId="30" xfId="0" applyBorder="1" applyAlignment="1"/>
    <xf numFmtId="0" fontId="0" fillId="0" borderId="29" xfId="0" applyBorder="1" applyAlignment="1"/>
    <xf numFmtId="0" fontId="0" fillId="0" borderId="29" xfId="0" applyBorder="1" applyAlignment="1">
      <alignment vertical="center"/>
    </xf>
    <xf numFmtId="10" fontId="10" fillId="4" borderId="16" xfId="0" applyNumberFormat="1" applyFont="1" applyFill="1" applyBorder="1" applyAlignment="1" applyProtection="1">
      <alignment horizontal="center" vertical="center"/>
      <protection locked="0"/>
    </xf>
    <xf numFmtId="49" fontId="10" fillId="4" borderId="0" xfId="0" applyNumberFormat="1" applyFont="1" applyFill="1" applyBorder="1" applyAlignment="1" applyProtection="1">
      <alignment horizontal="center" vertical="center"/>
      <protection locked="0"/>
    </xf>
    <xf numFmtId="166" fontId="10" fillId="4" borderId="24" xfId="0" applyNumberFormat="1" applyFont="1" applyFill="1" applyBorder="1" applyAlignment="1" applyProtection="1">
      <alignment horizontal="center" vertical="center"/>
      <protection locked="0"/>
    </xf>
    <xf numFmtId="164" fontId="10" fillId="4" borderId="24" xfId="0" applyNumberFormat="1" applyFont="1" applyFill="1" applyBorder="1" applyAlignment="1" applyProtection="1">
      <alignment horizontal="center" vertical="center"/>
      <protection locked="0"/>
    </xf>
    <xf numFmtId="166" fontId="10" fillId="4" borderId="24" xfId="0" applyNumberFormat="1" applyFont="1" applyFill="1" applyBorder="1" applyAlignment="1">
      <alignment horizontal="center" vertical="center"/>
    </xf>
    <xf numFmtId="166" fontId="10" fillId="4" borderId="0" xfId="0" applyNumberFormat="1" applyFont="1" applyFill="1" applyBorder="1" applyAlignment="1">
      <alignment horizontal="center" vertical="center"/>
    </xf>
    <xf numFmtId="166" fontId="10" fillId="4" borderId="24" xfId="0" applyNumberFormat="1" applyFont="1" applyFill="1" applyBorder="1" applyAlignment="1" applyProtection="1">
      <alignment horizontal="center" vertical="center"/>
    </xf>
    <xf numFmtId="166" fontId="10" fillId="4" borderId="0" xfId="0" applyNumberFormat="1" applyFont="1" applyFill="1" applyBorder="1" applyAlignment="1" applyProtection="1">
      <alignment horizontal="center" vertical="center"/>
    </xf>
    <xf numFmtId="166" fontId="10" fillId="4" borderId="26" xfId="0" applyNumberFormat="1" applyFont="1" applyFill="1" applyBorder="1" applyAlignment="1" applyProtection="1">
      <alignment horizontal="center" vertical="center"/>
    </xf>
    <xf numFmtId="166" fontId="10" fillId="4" borderId="16" xfId="0" applyNumberFormat="1" applyFont="1" applyFill="1" applyBorder="1" applyAlignment="1" applyProtection="1">
      <alignment horizontal="center" vertical="center"/>
    </xf>
    <xf numFmtId="166" fontId="10" fillId="4" borderId="26" xfId="0" applyNumberFormat="1" applyFont="1" applyFill="1" applyBorder="1" applyAlignment="1" applyProtection="1">
      <alignment horizontal="center" vertical="center"/>
      <protection locked="0"/>
    </xf>
    <xf numFmtId="166" fontId="10" fillId="4" borderId="16" xfId="0" applyNumberFormat="1" applyFont="1" applyFill="1" applyBorder="1" applyAlignment="1">
      <alignment horizontal="center" vertical="center"/>
    </xf>
    <xf numFmtId="10" fontId="10" fillId="4" borderId="26" xfId="0" applyNumberFormat="1" applyFont="1" applyFill="1" applyBorder="1" applyAlignment="1" applyProtection="1">
      <alignment horizontal="center" vertical="center"/>
    </xf>
    <xf numFmtId="10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65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8" fontId="21" fillId="0" borderId="0" xfId="0" applyNumberFormat="1" applyFont="1" applyFill="1" applyBorder="1" applyAlignment="1">
      <alignment horizontal="left" vertical="center"/>
    </xf>
  </cellXfs>
  <cellStyles count="5">
    <cellStyle name="40 % - Accent1" xfId="4" builtinId="31"/>
    <cellStyle name="Accent1" xfId="3" builtinId="29"/>
    <cellStyle name="Monétaire" xfId="1" builtinId="4"/>
    <cellStyle name="Normal" xfId="0" builtinId="0"/>
    <cellStyle name="Normal 2" xfId="2"/>
  </cellStyles>
  <dxfs count="8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50"/>
      </font>
    </dxf>
    <dxf>
      <numFmt numFmtId="170" formatCode=";;;"/>
    </dxf>
  </dxfs>
  <tableStyles count="0" defaultTableStyle="TableStyleMedium9" defaultPivotStyle="PivotStyleLight16"/>
  <colors>
    <mruColors>
      <color rgb="FFFFFFCC"/>
      <color rgb="FFFAFEC6"/>
      <color rgb="FFFF9966"/>
      <color rgb="FFC2D69A"/>
      <color rgb="FFFF99FF"/>
      <color rgb="FFFFFF66"/>
      <color rgb="FF00CC00"/>
      <color rgb="FFE63A5F"/>
      <color rgb="FFFF33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67_Simulateur%20de%20Mensualit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AT196"/>
  <sheetViews>
    <sheetView showZeros="0" topLeftCell="A4" zoomScale="80" zoomScaleNormal="80" zoomScaleSheetLayoutView="100" workbookViewId="0">
      <selection activeCell="AL31" sqref="AL31"/>
    </sheetView>
  </sheetViews>
  <sheetFormatPr baseColWidth="10" defaultRowHeight="20.100000000000001" customHeight="1" x14ac:dyDescent="0.25"/>
  <cols>
    <col min="1" max="1" width="0.140625" style="7" customWidth="1"/>
    <col min="2" max="2" width="1.7109375" style="4" customWidth="1"/>
    <col min="3" max="3" width="20.7109375" style="7" customWidth="1"/>
    <col min="4" max="4" width="1.7109375" style="4" customWidth="1"/>
    <col min="5" max="5" width="13.7109375" style="7" customWidth="1"/>
    <col min="6" max="6" width="1.7109375" style="7" customWidth="1"/>
    <col min="7" max="7" width="13.7109375" style="7" customWidth="1"/>
    <col min="8" max="8" width="1.7109375" style="4" customWidth="1"/>
    <col min="9" max="9" width="13.7109375" style="7" customWidth="1"/>
    <col min="10" max="10" width="1.7109375" style="7" customWidth="1"/>
    <col min="11" max="11" width="13.7109375" style="7" customWidth="1"/>
    <col min="12" max="12" width="1.7109375" style="4" customWidth="1"/>
    <col min="13" max="13" width="13.7109375" style="7" customWidth="1"/>
    <col min="14" max="14" width="1.7109375" style="7" customWidth="1"/>
    <col min="15" max="15" width="13.7109375" style="7" customWidth="1"/>
    <col min="16" max="16" width="5.28515625" style="4" customWidth="1"/>
    <col min="17" max="17" width="19.140625" style="7" customWidth="1"/>
    <col min="18" max="18" width="1.7109375" style="5" customWidth="1"/>
    <col min="19" max="19" width="15.42578125" style="7" customWidth="1"/>
    <col min="20" max="20" width="1.7109375" style="4" customWidth="1"/>
    <col min="21" max="21" width="13.28515625" style="7" customWidth="1"/>
    <col min="22" max="22" width="1.7109375" style="4" customWidth="1"/>
    <col min="23" max="23" width="15.7109375" style="7" customWidth="1"/>
    <col min="24" max="24" width="1.7109375" style="4" customWidth="1"/>
    <col min="25" max="25" width="13.28515625" style="7" customWidth="1"/>
    <col min="26" max="26" width="1.7109375" style="7" customWidth="1"/>
    <col min="27" max="27" width="13.28515625" style="7" customWidth="1"/>
    <col min="28" max="28" width="1.7109375" style="7" customWidth="1"/>
    <col min="29" max="29" width="13.28515625" style="7" customWidth="1"/>
    <col min="30" max="30" width="1.7109375" style="6" customWidth="1"/>
    <col min="31" max="31" width="13.28515625" style="6" customWidth="1"/>
    <col min="32" max="32" width="1.7109375" style="6" customWidth="1"/>
    <col min="33" max="33" width="13.28515625" style="7" customWidth="1"/>
    <col min="34" max="34" width="0.85546875" style="4" customWidth="1"/>
    <col min="35" max="35" width="12.42578125" style="4" bestFit="1" customWidth="1"/>
    <col min="36" max="36" width="0.85546875" style="7" customWidth="1"/>
    <col min="37" max="37" width="13.7109375" style="7" customWidth="1"/>
    <col min="38" max="38" width="16.28515625" style="7" customWidth="1"/>
    <col min="39" max="39" width="13.7109375" style="7" customWidth="1"/>
    <col min="40" max="40" width="0.85546875" style="7" customWidth="1"/>
    <col min="41" max="41" width="13.7109375" style="7" customWidth="1"/>
    <col min="42" max="42" width="0.85546875" style="7" customWidth="1"/>
    <col min="43" max="43" width="13.7109375" style="7" customWidth="1"/>
    <col min="44" max="44" width="0.85546875" style="7" customWidth="1"/>
    <col min="45" max="45" width="13.7109375" style="7" customWidth="1"/>
    <col min="46" max="16384" width="11.42578125" style="7"/>
  </cols>
  <sheetData>
    <row r="1" spans="1:46" s="3" customFormat="1" ht="20.100000000000001" customHeight="1" x14ac:dyDescent="0.25">
      <c r="A1" s="2"/>
      <c r="B1" s="2"/>
      <c r="Q1" s="4"/>
      <c r="R1" s="5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6"/>
      <c r="AE1" s="6"/>
      <c r="AF1" s="6"/>
      <c r="AG1" s="4"/>
      <c r="AH1" s="4"/>
      <c r="AI1" s="4"/>
    </row>
    <row r="2" spans="1:46" ht="30" customHeight="1" x14ac:dyDescent="0.25">
      <c r="C2" s="225" t="s">
        <v>68</v>
      </c>
      <c r="D2" s="8"/>
      <c r="E2" s="9"/>
      <c r="F2" s="10"/>
      <c r="G2" s="10"/>
      <c r="H2" s="10"/>
      <c r="I2" s="10"/>
      <c r="J2" s="8"/>
      <c r="K2" s="9"/>
      <c r="L2" s="10"/>
      <c r="M2" s="10"/>
      <c r="N2" s="10"/>
      <c r="O2" s="10"/>
      <c r="P2" s="8"/>
      <c r="Q2" s="4"/>
      <c r="S2" s="4"/>
      <c r="U2" s="4"/>
      <c r="W2" s="4"/>
      <c r="Y2" s="4"/>
      <c r="Z2" s="4"/>
      <c r="AA2" s="4"/>
      <c r="AB2" s="4"/>
      <c r="AC2" s="4"/>
      <c r="AG2" s="4"/>
      <c r="AJ2" s="4"/>
      <c r="AK2" s="4"/>
      <c r="AL2" s="4"/>
      <c r="AM2" s="4"/>
      <c r="AN2" s="4"/>
      <c r="AO2" s="4"/>
      <c r="AP2" s="4"/>
      <c r="AQ2" s="4"/>
      <c r="AR2" s="4"/>
    </row>
    <row r="3" spans="1:46" ht="20.100000000000001" customHeight="1" x14ac:dyDescent="0.25">
      <c r="C3" s="11"/>
      <c r="E3" s="4"/>
      <c r="F3" s="6"/>
      <c r="G3" s="4"/>
      <c r="H3" s="6"/>
      <c r="I3" s="6"/>
      <c r="J3" s="6"/>
      <c r="K3" s="6"/>
      <c r="L3" s="6"/>
      <c r="M3" s="6"/>
      <c r="N3" s="6"/>
      <c r="O3" s="6"/>
      <c r="P3" s="6"/>
      <c r="Q3" s="4"/>
      <c r="S3" s="4"/>
      <c r="U3" s="4"/>
      <c r="W3" s="4"/>
      <c r="Y3" s="4"/>
      <c r="Z3" s="4"/>
      <c r="AA3" s="4"/>
      <c r="AB3" s="4"/>
      <c r="AC3" s="4"/>
      <c r="AG3" s="4"/>
      <c r="AH3" s="3"/>
      <c r="AI3" s="3"/>
      <c r="AJ3" s="4"/>
      <c r="AK3" s="4"/>
      <c r="AL3" s="4"/>
      <c r="AM3" s="4"/>
      <c r="AN3" s="4"/>
      <c r="AO3" s="4"/>
      <c r="AP3" s="4"/>
      <c r="AQ3" s="4"/>
      <c r="AR3" s="4"/>
    </row>
    <row r="4" spans="1:46" ht="30" customHeight="1" x14ac:dyDescent="0.25">
      <c r="C4" s="113" t="s">
        <v>84</v>
      </c>
      <c r="D4" s="12"/>
      <c r="E4" s="251" t="s">
        <v>22</v>
      </c>
      <c r="F4" s="252"/>
      <c r="G4" s="253"/>
      <c r="H4" s="13"/>
      <c r="I4" s="251" t="s">
        <v>23</v>
      </c>
      <c r="J4" s="252"/>
      <c r="K4" s="253"/>
      <c r="L4" s="13"/>
      <c r="M4" s="251" t="s">
        <v>83</v>
      </c>
      <c r="N4" s="252"/>
      <c r="O4" s="253"/>
      <c r="P4" s="13"/>
      <c r="Q4" s="114" t="s">
        <v>55</v>
      </c>
      <c r="R4" s="4"/>
      <c r="S4" s="115" t="s">
        <v>38</v>
      </c>
      <c r="U4" s="4"/>
      <c r="W4" s="248" t="s">
        <v>32</v>
      </c>
      <c r="X4" s="249"/>
      <c r="Y4" s="250"/>
      <c r="AA4" s="115" t="s">
        <v>38</v>
      </c>
      <c r="AC4" s="4"/>
      <c r="AG4" s="4"/>
      <c r="AH4" s="7"/>
      <c r="AJ4" s="4"/>
      <c r="AK4" s="4"/>
      <c r="AL4" s="4"/>
      <c r="AM4" s="4"/>
      <c r="AN4" s="4"/>
      <c r="AO4" s="4"/>
      <c r="AP4" s="4"/>
      <c r="AQ4" s="4"/>
      <c r="AR4" s="4"/>
    </row>
    <row r="5" spans="1:46" ht="9.9499999999999993" customHeight="1" x14ac:dyDescent="0.25">
      <c r="C5" s="14"/>
      <c r="D5" s="12"/>
      <c r="E5" s="15"/>
      <c r="F5" s="16"/>
      <c r="G5" s="16"/>
      <c r="H5" s="13"/>
      <c r="I5" s="15"/>
      <c r="J5" s="16"/>
      <c r="K5" s="16"/>
      <c r="L5" s="13"/>
      <c r="M5" s="15"/>
      <c r="N5" s="16"/>
      <c r="O5" s="16"/>
      <c r="P5" s="13"/>
      <c r="R5" s="4"/>
      <c r="U5" s="4"/>
      <c r="W5" s="4"/>
      <c r="Y5" s="4"/>
      <c r="Z5" s="4"/>
      <c r="AA5" s="4"/>
      <c r="AB5" s="4"/>
      <c r="AC5" s="4"/>
      <c r="AG5" s="4"/>
      <c r="AH5" s="7"/>
      <c r="AJ5" s="4"/>
      <c r="AK5" s="4"/>
      <c r="AL5" s="4"/>
      <c r="AM5" s="4"/>
      <c r="AN5" s="4"/>
      <c r="AO5" s="4"/>
      <c r="AP5" s="4"/>
      <c r="AQ5" s="4"/>
      <c r="AR5" s="4"/>
    </row>
    <row r="6" spans="1:46" ht="20.100000000000001" customHeight="1" x14ac:dyDescent="0.25">
      <c r="C6" s="110" t="s">
        <v>6</v>
      </c>
      <c r="D6" s="12"/>
      <c r="E6" s="254"/>
      <c r="F6" s="255"/>
      <c r="G6" s="256"/>
      <c r="H6" s="13"/>
      <c r="I6" s="254"/>
      <c r="J6" s="255"/>
      <c r="K6" s="256"/>
      <c r="L6" s="13"/>
      <c r="M6" s="9"/>
      <c r="N6" s="9"/>
      <c r="O6" s="9"/>
      <c r="P6" s="13"/>
      <c r="Q6" s="117" t="s">
        <v>56</v>
      </c>
      <c r="R6" s="12"/>
      <c r="S6" s="120">
        <v>170000</v>
      </c>
      <c r="U6" s="4"/>
      <c r="W6" s="174" t="s">
        <v>44</v>
      </c>
      <c r="X6" s="222"/>
      <c r="Y6" s="123"/>
      <c r="Z6" s="4"/>
      <c r="AA6" s="125"/>
      <c r="AB6" s="4"/>
      <c r="AC6" s="4"/>
      <c r="AF6" s="17"/>
      <c r="AG6" s="4"/>
      <c r="AH6" s="7"/>
      <c r="AJ6" s="4"/>
      <c r="AK6" s="4"/>
      <c r="AL6" s="4"/>
      <c r="AM6" s="4"/>
      <c r="AN6" s="4"/>
      <c r="AO6" s="4"/>
      <c r="AP6" s="4"/>
      <c r="AQ6" s="4"/>
      <c r="AR6" s="4"/>
    </row>
    <row r="7" spans="1:46" ht="20.100000000000001" customHeight="1" x14ac:dyDescent="0.25">
      <c r="C7" s="111" t="s">
        <v>7</v>
      </c>
      <c r="D7" s="12"/>
      <c r="E7" s="257"/>
      <c r="F7" s="258"/>
      <c r="G7" s="259"/>
      <c r="H7" s="13"/>
      <c r="I7" s="257"/>
      <c r="J7" s="258"/>
      <c r="K7" s="259"/>
      <c r="L7" s="13"/>
      <c r="M7" s="9"/>
      <c r="N7" s="9"/>
      <c r="O7" s="9"/>
      <c r="P7" s="13"/>
      <c r="Q7" s="118" t="s">
        <v>57</v>
      </c>
      <c r="R7" s="6"/>
      <c r="S7" s="121"/>
      <c r="U7" s="4"/>
      <c r="W7" s="151" t="s">
        <v>102</v>
      </c>
      <c r="X7" s="226"/>
      <c r="Y7" s="124"/>
      <c r="Z7" s="4"/>
      <c r="AA7" s="126"/>
      <c r="AB7" s="4"/>
      <c r="AC7" s="4"/>
      <c r="AF7" s="17"/>
      <c r="AG7" s="4"/>
      <c r="AH7" s="7"/>
      <c r="AJ7" s="4"/>
      <c r="AK7" s="4"/>
      <c r="AL7" s="4"/>
      <c r="AM7" s="4"/>
      <c r="AN7" s="4"/>
      <c r="AO7" s="4"/>
      <c r="AP7" s="4"/>
      <c r="AQ7" s="4"/>
      <c r="AR7" s="4"/>
    </row>
    <row r="8" spans="1:46" ht="20.100000000000001" customHeight="1" x14ac:dyDescent="0.25">
      <c r="C8" s="111" t="s">
        <v>24</v>
      </c>
      <c r="D8" s="12"/>
      <c r="E8" s="257"/>
      <c r="F8" s="258"/>
      <c r="G8" s="259"/>
      <c r="H8" s="13"/>
      <c r="I8" s="257"/>
      <c r="J8" s="258"/>
      <c r="K8" s="259"/>
      <c r="L8" s="13"/>
      <c r="M8" s="254"/>
      <c r="N8" s="255"/>
      <c r="O8" s="256"/>
      <c r="P8" s="13"/>
      <c r="Q8" s="118" t="s">
        <v>34</v>
      </c>
      <c r="R8" s="6"/>
      <c r="S8" s="122">
        <f>S7*21%</f>
        <v>0</v>
      </c>
      <c r="U8" s="4"/>
      <c r="W8" s="151" t="s">
        <v>101</v>
      </c>
      <c r="X8" s="226"/>
      <c r="Y8" s="124"/>
      <c r="Z8" s="4"/>
      <c r="AA8" s="126"/>
      <c r="AB8" s="4"/>
      <c r="AC8" s="4"/>
      <c r="AF8" s="18"/>
      <c r="AG8" s="4"/>
      <c r="AH8" s="7"/>
      <c r="AJ8" s="4"/>
      <c r="AK8" s="4"/>
      <c r="AL8" s="4"/>
      <c r="AM8" s="4"/>
      <c r="AN8" s="4"/>
      <c r="AO8" s="4"/>
      <c r="AP8" s="4"/>
      <c r="AQ8" s="4"/>
      <c r="AR8" s="4"/>
    </row>
    <row r="9" spans="1:46" ht="20.100000000000001" customHeight="1" x14ac:dyDescent="0.25">
      <c r="C9" s="111" t="s">
        <v>25</v>
      </c>
      <c r="D9" s="19"/>
      <c r="E9" s="257"/>
      <c r="F9" s="258"/>
      <c r="G9" s="259"/>
      <c r="H9" s="13"/>
      <c r="I9" s="257"/>
      <c r="J9" s="258"/>
      <c r="K9" s="259"/>
      <c r="L9" s="13"/>
      <c r="M9" s="257"/>
      <c r="N9" s="258"/>
      <c r="O9" s="259"/>
      <c r="P9" s="13"/>
      <c r="Q9" s="119" t="s">
        <v>58</v>
      </c>
      <c r="R9" s="6"/>
      <c r="S9" s="121">
        <f>S7+S8</f>
        <v>0</v>
      </c>
      <c r="U9" s="4"/>
      <c r="W9" s="151" t="s">
        <v>18</v>
      </c>
      <c r="X9" s="226"/>
      <c r="Y9" s="124"/>
      <c r="Z9" s="4"/>
      <c r="AA9" s="127">
        <f>AA7*AA8*3/12</f>
        <v>0</v>
      </c>
      <c r="AB9" s="4"/>
      <c r="AC9" s="4"/>
      <c r="AF9" s="20"/>
      <c r="AG9" s="4"/>
      <c r="AH9" s="7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 ht="20.100000000000001" customHeight="1" x14ac:dyDescent="0.25">
      <c r="C10" s="111" t="s">
        <v>26</v>
      </c>
      <c r="D10" s="12"/>
      <c r="E10" s="257"/>
      <c r="F10" s="258"/>
      <c r="G10" s="259"/>
      <c r="H10" s="13"/>
      <c r="I10" s="257"/>
      <c r="J10" s="258"/>
      <c r="K10" s="259"/>
      <c r="L10" s="13"/>
      <c r="M10" s="257"/>
      <c r="N10" s="258"/>
      <c r="O10" s="259"/>
      <c r="P10" s="13"/>
      <c r="Q10" s="128" t="s">
        <v>0</v>
      </c>
      <c r="R10" s="6"/>
      <c r="S10" s="129"/>
      <c r="U10" s="4"/>
      <c r="W10" s="151" t="s">
        <v>100</v>
      </c>
      <c r="X10" s="226"/>
      <c r="Y10" s="124"/>
      <c r="Z10" s="4"/>
      <c r="AA10" s="130" t="str">
        <f>IF(AA6="","",CHOOSE(MATCH(AA6,AE$69:AE$85,1),AF71,AF72,AF73,AF74,AF75,AF76,AF77,AF78,AF79,AF80,AF81,AF82,AF83,AF84,AF85,AF86))</f>
        <v/>
      </c>
      <c r="AB10" s="4"/>
      <c r="AC10" s="4"/>
      <c r="AF10" s="20"/>
      <c r="AG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 ht="20.100000000000001" customHeight="1" x14ac:dyDescent="0.25">
      <c r="C11" s="112" t="s">
        <v>27</v>
      </c>
      <c r="D11" s="12"/>
      <c r="E11" s="264"/>
      <c r="F11" s="261"/>
      <c r="G11" s="262"/>
      <c r="H11" s="13"/>
      <c r="I11" s="263"/>
      <c r="J11" s="261"/>
      <c r="K11" s="262"/>
      <c r="L11" s="13"/>
      <c r="M11" s="260"/>
      <c r="N11" s="261"/>
      <c r="O11" s="262"/>
      <c r="P11" s="21"/>
      <c r="Q11" s="131" t="s">
        <v>59</v>
      </c>
      <c r="R11" s="6"/>
      <c r="S11" s="132">
        <f>SUM(S6:S9)-S10</f>
        <v>170000</v>
      </c>
      <c r="W11" s="224" t="s">
        <v>19</v>
      </c>
      <c r="X11" s="223"/>
      <c r="Y11" s="227"/>
      <c r="Z11" s="4"/>
      <c r="AA11" s="132">
        <f>SUM(AA7:AA10)</f>
        <v>0</v>
      </c>
      <c r="AB11" s="4"/>
      <c r="AC11" s="4"/>
      <c r="AF11" s="20"/>
      <c r="AG11" s="4"/>
      <c r="AH11" s="20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 ht="20.100000000000001" customHeight="1" thickBot="1" x14ac:dyDescent="0.3">
      <c r="C12" s="6"/>
      <c r="D12" s="12"/>
      <c r="E12" s="9"/>
      <c r="F12" s="22"/>
      <c r="G12" s="22"/>
      <c r="H12" s="21"/>
      <c r="I12" s="9"/>
      <c r="J12" s="22"/>
      <c r="K12" s="22"/>
      <c r="L12" s="21"/>
      <c r="M12" s="9"/>
      <c r="N12" s="9"/>
      <c r="O12" s="9"/>
      <c r="P12" s="13"/>
      <c r="R12" s="4"/>
      <c r="U12" s="4"/>
      <c r="W12" s="23"/>
      <c r="Y12" s="4"/>
      <c r="Z12" s="4"/>
      <c r="AA12" s="4"/>
      <c r="AB12" s="4"/>
      <c r="AC12" s="4"/>
      <c r="AG12" s="4"/>
      <c r="AH12" s="20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6" ht="30" customHeight="1" thickBot="1" x14ac:dyDescent="0.3">
      <c r="C13" s="109" t="s">
        <v>42</v>
      </c>
      <c r="D13" s="12"/>
      <c r="E13" s="9"/>
      <c r="F13" s="22"/>
      <c r="G13" s="22"/>
      <c r="H13" s="13"/>
      <c r="I13" s="9"/>
      <c r="J13" s="22"/>
      <c r="K13" s="22"/>
      <c r="L13" s="13"/>
      <c r="M13" s="9"/>
      <c r="N13" s="9"/>
      <c r="O13" s="9"/>
      <c r="P13" s="24"/>
      <c r="Q13" s="116" t="s">
        <v>33</v>
      </c>
      <c r="R13" s="6"/>
      <c r="S13" s="4"/>
      <c r="U13" s="113" t="s">
        <v>36</v>
      </c>
      <c r="W13" s="113" t="s">
        <v>34</v>
      </c>
      <c r="Y13" s="113" t="s">
        <v>35</v>
      </c>
      <c r="Z13" s="4"/>
      <c r="AA13" s="4"/>
      <c r="AB13" s="4"/>
      <c r="AC13" s="4"/>
      <c r="AG13" s="4"/>
      <c r="AH13" s="20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 ht="9.9499999999999993" customHeight="1" thickBot="1" x14ac:dyDescent="0.3">
      <c r="C14" s="6"/>
      <c r="D14" s="25"/>
      <c r="E14" s="9"/>
      <c r="F14" s="22"/>
      <c r="G14" s="22"/>
      <c r="H14" s="24"/>
      <c r="I14" s="9"/>
      <c r="J14" s="22"/>
      <c r="K14" s="22"/>
      <c r="L14" s="24"/>
      <c r="M14" s="9"/>
      <c r="N14" s="9"/>
      <c r="O14" s="9"/>
      <c r="P14" s="13"/>
      <c r="Q14" s="26"/>
      <c r="R14" s="6"/>
      <c r="U14" s="27"/>
      <c r="Z14" s="4"/>
      <c r="AA14" s="4"/>
      <c r="AB14" s="4"/>
      <c r="AC14" s="4"/>
      <c r="AG14" s="4"/>
      <c r="AH14" s="13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 ht="20.100000000000001" customHeight="1" thickBot="1" x14ac:dyDescent="0.3">
      <c r="C15" s="106" t="s">
        <v>41</v>
      </c>
      <c r="D15" s="25"/>
      <c r="E15" s="105" t="s">
        <v>48</v>
      </c>
      <c r="F15" s="25"/>
      <c r="G15" s="107" t="s">
        <v>28</v>
      </c>
      <c r="H15" s="13"/>
      <c r="I15" s="108" t="s">
        <v>29</v>
      </c>
      <c r="J15" s="28"/>
      <c r="K15" s="104" t="s">
        <v>45</v>
      </c>
      <c r="L15" s="13"/>
      <c r="M15" s="104" t="s">
        <v>39</v>
      </c>
      <c r="N15" s="28"/>
      <c r="O15" s="104" t="s">
        <v>40</v>
      </c>
      <c r="P15" s="13"/>
      <c r="Q15" s="148" t="s">
        <v>69</v>
      </c>
      <c r="R15" s="149"/>
      <c r="S15" s="150"/>
      <c r="U15" s="120"/>
      <c r="W15" s="160">
        <f t="shared" ref="W15:W21" si="0">U15*21%</f>
        <v>0</v>
      </c>
      <c r="Y15" s="163">
        <f t="shared" ref="Y15:Y21" si="1">U15+W15</f>
        <v>0</v>
      </c>
      <c r="Z15" s="4"/>
      <c r="AA15" s="29"/>
      <c r="AB15" s="4"/>
      <c r="AC15" s="4"/>
      <c r="AG15" s="4"/>
      <c r="AH15" s="13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 ht="20.100000000000001" customHeight="1" x14ac:dyDescent="0.25">
      <c r="C16" s="30"/>
      <c r="D16" s="25"/>
      <c r="E16" s="31"/>
      <c r="F16" s="13"/>
      <c r="G16" s="32"/>
      <c r="H16" s="13"/>
      <c r="I16" s="28"/>
      <c r="J16" s="13"/>
      <c r="K16" s="28"/>
      <c r="L16" s="13"/>
      <c r="M16" s="13"/>
      <c r="N16" s="13"/>
      <c r="O16" s="13"/>
      <c r="P16" s="13"/>
      <c r="Q16" s="151" t="s">
        <v>77</v>
      </c>
      <c r="R16" s="33"/>
      <c r="S16" s="152"/>
      <c r="T16" s="6"/>
      <c r="U16" s="158"/>
      <c r="W16" s="161">
        <f t="shared" si="0"/>
        <v>0</v>
      </c>
      <c r="Y16" s="164">
        <f t="shared" si="1"/>
        <v>0</v>
      </c>
      <c r="Z16" s="4"/>
      <c r="AA16" s="4"/>
      <c r="AB16" s="4"/>
      <c r="AC16" s="4"/>
      <c r="AG16" s="4"/>
      <c r="AH16" s="13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3:46" ht="20.100000000000001" customHeight="1" x14ac:dyDescent="0.25">
      <c r="C17" s="133"/>
      <c r="D17" s="25"/>
      <c r="E17" s="120"/>
      <c r="F17" s="13"/>
      <c r="G17" s="137"/>
      <c r="H17" s="13"/>
      <c r="I17" s="141"/>
      <c r="J17" s="13"/>
      <c r="K17" s="120"/>
      <c r="L17" s="13"/>
      <c r="M17" s="145"/>
      <c r="N17" s="13"/>
      <c r="O17" s="120"/>
      <c r="P17" s="13"/>
      <c r="Q17" s="151" t="s">
        <v>70</v>
      </c>
      <c r="R17" s="33"/>
      <c r="S17" s="152"/>
      <c r="U17" s="158"/>
      <c r="W17" s="161">
        <f t="shared" si="0"/>
        <v>0</v>
      </c>
      <c r="Y17" s="164">
        <f t="shared" si="1"/>
        <v>0</v>
      </c>
      <c r="Z17" s="4"/>
      <c r="AA17" s="4"/>
      <c r="AB17" s="4"/>
      <c r="AC17" s="4"/>
      <c r="AG17" s="4"/>
      <c r="AH17" s="13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3:46" ht="20.100000000000001" customHeight="1" x14ac:dyDescent="0.25">
      <c r="C18" s="134"/>
      <c r="D18" s="25"/>
      <c r="E18" s="121"/>
      <c r="F18" s="13"/>
      <c r="G18" s="138"/>
      <c r="H18" s="13"/>
      <c r="I18" s="142"/>
      <c r="J18" s="13"/>
      <c r="K18" s="121"/>
      <c r="L18" s="13"/>
      <c r="M18" s="146"/>
      <c r="N18" s="13"/>
      <c r="O18" s="121"/>
      <c r="P18" s="13"/>
      <c r="Q18" s="151" t="s">
        <v>37</v>
      </c>
      <c r="R18" s="33"/>
      <c r="S18" s="152"/>
      <c r="U18" s="158"/>
      <c r="W18" s="161">
        <f t="shared" si="0"/>
        <v>0</v>
      </c>
      <c r="Y18" s="164">
        <f t="shared" si="1"/>
        <v>0</v>
      </c>
      <c r="Z18" s="4"/>
      <c r="AA18" s="4"/>
      <c r="AB18" s="4"/>
      <c r="AC18" s="4"/>
      <c r="AG18" s="4"/>
      <c r="AH18" s="13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3:46" ht="20.100000000000001" customHeight="1" x14ac:dyDescent="0.25">
      <c r="C19" s="134"/>
      <c r="D19" s="25"/>
      <c r="E19" s="121"/>
      <c r="F19" s="13"/>
      <c r="G19" s="138"/>
      <c r="H19" s="13"/>
      <c r="I19" s="142"/>
      <c r="J19" s="13"/>
      <c r="K19" s="121"/>
      <c r="L19" s="13"/>
      <c r="M19" s="146"/>
      <c r="N19" s="13"/>
      <c r="O19" s="121"/>
      <c r="P19" s="13"/>
      <c r="Q19" s="153" t="s">
        <v>14</v>
      </c>
      <c r="R19" s="33"/>
      <c r="S19" s="152"/>
      <c r="U19" s="158"/>
      <c r="W19" s="161">
        <f t="shared" si="0"/>
        <v>0</v>
      </c>
      <c r="Y19" s="164">
        <f t="shared" si="1"/>
        <v>0</v>
      </c>
      <c r="Z19" s="4"/>
      <c r="AA19" s="4"/>
      <c r="AB19" s="4"/>
      <c r="AC19" s="4"/>
      <c r="AG19" s="4"/>
      <c r="AH19" s="13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3:46" ht="20.100000000000001" customHeight="1" x14ac:dyDescent="0.25">
      <c r="C20" s="134"/>
      <c r="D20" s="25"/>
      <c r="E20" s="121"/>
      <c r="F20" s="13"/>
      <c r="G20" s="138"/>
      <c r="H20" s="13"/>
      <c r="I20" s="142"/>
      <c r="J20" s="13"/>
      <c r="K20" s="121"/>
      <c r="L20" s="13"/>
      <c r="M20" s="146"/>
      <c r="N20" s="13"/>
      <c r="O20" s="121"/>
      <c r="P20" s="13"/>
      <c r="Q20" s="153" t="s">
        <v>71</v>
      </c>
      <c r="R20" s="33"/>
      <c r="S20" s="152"/>
      <c r="U20" s="158"/>
      <c r="W20" s="161">
        <f t="shared" si="0"/>
        <v>0</v>
      </c>
      <c r="Y20" s="164">
        <f t="shared" si="1"/>
        <v>0</v>
      </c>
      <c r="Z20" s="4"/>
      <c r="AA20" s="4"/>
      <c r="AB20" s="4"/>
      <c r="AC20" s="4"/>
      <c r="AG20" s="4"/>
      <c r="AH20" s="13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3:46" ht="20.100000000000001" customHeight="1" x14ac:dyDescent="0.25">
      <c r="C21" s="134"/>
      <c r="D21" s="25"/>
      <c r="E21" s="121"/>
      <c r="F21" s="13"/>
      <c r="G21" s="138"/>
      <c r="H21" s="13"/>
      <c r="I21" s="142"/>
      <c r="J21" s="13"/>
      <c r="K21" s="121"/>
      <c r="L21" s="13"/>
      <c r="M21" s="146"/>
      <c r="N21" s="13"/>
      <c r="O21" s="121"/>
      <c r="P21" s="13"/>
      <c r="Q21" s="151" t="s">
        <v>72</v>
      </c>
      <c r="R21" s="33"/>
      <c r="S21" s="152"/>
      <c r="U21" s="158"/>
      <c r="W21" s="162">
        <f t="shared" si="0"/>
        <v>0</v>
      </c>
      <c r="Y21" s="164">
        <f t="shared" si="1"/>
        <v>0</v>
      </c>
      <c r="Z21" s="4"/>
      <c r="AA21" s="4"/>
      <c r="AB21" s="4"/>
      <c r="AC21" s="4"/>
      <c r="AG21" s="4"/>
      <c r="AH21" s="13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3:46" ht="20.100000000000001" customHeight="1" x14ac:dyDescent="0.25">
      <c r="C22" s="135"/>
      <c r="D22" s="25"/>
      <c r="E22" s="140"/>
      <c r="F22" s="13"/>
      <c r="G22" s="139"/>
      <c r="H22" s="13"/>
      <c r="I22" s="143"/>
      <c r="J22" s="13"/>
      <c r="K22" s="140"/>
      <c r="L22" s="13"/>
      <c r="M22" s="147"/>
      <c r="N22" s="13"/>
      <c r="O22" s="140"/>
      <c r="P22" s="13"/>
      <c r="Q22" s="154" t="s">
        <v>73</v>
      </c>
      <c r="R22" s="33"/>
      <c r="S22" s="152"/>
      <c r="U22" s="158"/>
      <c r="W22" s="34"/>
      <c r="Y22" s="165">
        <f>U22</f>
        <v>0</v>
      </c>
      <c r="Z22" s="4"/>
      <c r="AA22" s="4"/>
      <c r="AB22" s="4"/>
      <c r="AC22" s="4"/>
      <c r="AG22" s="4"/>
      <c r="AH22" s="13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3:46" ht="20.100000000000001" customHeight="1" x14ac:dyDescent="0.25">
      <c r="C23" s="35"/>
      <c r="D23" s="25"/>
      <c r="E23" s="136">
        <f>SUM(E17:E22)</f>
        <v>0</v>
      </c>
      <c r="F23" s="13"/>
      <c r="G23" s="24"/>
      <c r="H23" s="13"/>
      <c r="I23" s="13"/>
      <c r="J23" s="13"/>
      <c r="K23" s="144">
        <f>SUM(K17:K22)</f>
        <v>0</v>
      </c>
      <c r="L23" s="13"/>
      <c r="M23" s="13"/>
      <c r="N23" s="13"/>
      <c r="O23" s="144">
        <f>SUM(O17:O22)</f>
        <v>0</v>
      </c>
      <c r="P23" s="13"/>
      <c r="Q23" s="155" t="s">
        <v>12</v>
      </c>
      <c r="R23" s="156"/>
      <c r="S23" s="157"/>
      <c r="U23" s="159"/>
      <c r="W23" s="4"/>
      <c r="Y23" s="132">
        <f>SUM(Y15:Y21)-Y22</f>
        <v>0</v>
      </c>
      <c r="Z23" s="4"/>
      <c r="AA23" s="4"/>
      <c r="AB23" s="4"/>
      <c r="AC23" s="4"/>
      <c r="AG23" s="4"/>
      <c r="AH23" s="13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3:46" ht="20.100000000000001" customHeight="1" x14ac:dyDescent="0.25">
      <c r="C24" s="35"/>
      <c r="D24" s="25"/>
      <c r="E24" s="36"/>
      <c r="F24" s="13"/>
      <c r="G24" s="24"/>
      <c r="H24" s="13"/>
      <c r="I24" s="13"/>
      <c r="J24" s="13"/>
      <c r="K24" s="13"/>
      <c r="L24" s="13"/>
      <c r="M24" s="13"/>
      <c r="N24" s="13"/>
      <c r="O24" s="13"/>
      <c r="P24" s="13"/>
      <c r="Q24" s="37"/>
      <c r="R24" s="38"/>
      <c r="S24" s="39"/>
      <c r="U24" s="4"/>
      <c r="W24" s="40"/>
      <c r="Y24" s="4"/>
      <c r="Z24" s="4"/>
      <c r="AA24" s="4"/>
      <c r="AB24" s="4"/>
      <c r="AC24" s="4"/>
      <c r="AG24" s="4"/>
      <c r="AH24" s="13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3:46" ht="20.100000000000001" customHeight="1" x14ac:dyDescent="0.25">
      <c r="C25" s="35"/>
      <c r="D25" s="25"/>
      <c r="E25" s="36"/>
      <c r="F25" s="13"/>
      <c r="G25" s="24"/>
      <c r="H25" s="13"/>
      <c r="I25" s="13"/>
      <c r="J25" s="13"/>
      <c r="K25" s="13"/>
      <c r="L25" s="13"/>
      <c r="M25" s="13"/>
      <c r="N25" s="13"/>
      <c r="O25" s="13"/>
      <c r="P25" s="13"/>
      <c r="Q25" s="41"/>
      <c r="R25" s="38"/>
      <c r="S25" s="18"/>
      <c r="U25" s="4"/>
      <c r="W25" s="40"/>
      <c r="Y25" s="4"/>
      <c r="Z25" s="4"/>
      <c r="AA25" s="4"/>
      <c r="AB25" s="4"/>
      <c r="AC25" s="4"/>
      <c r="AG25" s="4"/>
      <c r="AH25" s="13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3:46" ht="20.100000000000001" customHeight="1" x14ac:dyDescent="0.25">
      <c r="C26" s="215" t="s">
        <v>4</v>
      </c>
      <c r="D26" s="25"/>
      <c r="E26" s="4"/>
      <c r="G26" s="216" t="s">
        <v>95</v>
      </c>
      <c r="H26" s="217"/>
      <c r="I26" s="218"/>
      <c r="J26" s="13"/>
      <c r="K26" s="185" t="s">
        <v>51</v>
      </c>
      <c r="L26" s="10"/>
      <c r="M26" s="197" t="s">
        <v>52</v>
      </c>
      <c r="N26" s="16"/>
      <c r="O26" s="16"/>
      <c r="P26" s="13"/>
      <c r="Q26" s="203" t="s">
        <v>5</v>
      </c>
      <c r="S26" s="4"/>
      <c r="U26" s="198" t="s">
        <v>49</v>
      </c>
      <c r="V26" s="201"/>
      <c r="W26" s="201"/>
      <c r="X26" s="201"/>
      <c r="Y26" s="201"/>
      <c r="Z26" s="201"/>
      <c r="AA26" s="201"/>
      <c r="AB26" s="201"/>
      <c r="AC26" s="202"/>
      <c r="AD26" s="22"/>
      <c r="AE26" s="22"/>
      <c r="AF26" s="22"/>
      <c r="AG26" s="22"/>
      <c r="AH26" s="22"/>
      <c r="AI26" s="22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3:46" ht="9.9499999999999993" customHeight="1" x14ac:dyDescent="0.25">
      <c r="C27" s="30"/>
      <c r="D27" s="25"/>
      <c r="E27" s="12"/>
      <c r="F27" s="13"/>
      <c r="G27" s="42"/>
      <c r="H27" s="13"/>
      <c r="I27" s="28"/>
      <c r="J27" s="13"/>
      <c r="K27" s="43"/>
      <c r="L27" s="13"/>
      <c r="M27" s="13"/>
      <c r="N27" s="13"/>
      <c r="O27" s="13"/>
      <c r="P27" s="13"/>
      <c r="Q27" s="44"/>
      <c r="S27" s="4"/>
      <c r="U27" s="34"/>
      <c r="V27" s="22"/>
      <c r="W27" s="45"/>
      <c r="X27" s="22"/>
      <c r="Y27" s="34"/>
      <c r="Z27" s="22"/>
      <c r="AA27" s="45"/>
      <c r="AB27" s="22"/>
      <c r="AC27" s="22"/>
      <c r="AD27" s="44"/>
      <c r="AG27" s="6"/>
      <c r="AH27" s="6"/>
      <c r="AI27" s="6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3:46" ht="20.100000000000001" customHeight="1" x14ac:dyDescent="0.25">
      <c r="C28" s="174" t="s">
        <v>87</v>
      </c>
      <c r="D28" s="175"/>
      <c r="E28" s="176"/>
      <c r="G28" s="120"/>
      <c r="H28" s="13"/>
      <c r="I28" s="120"/>
      <c r="J28" s="46"/>
      <c r="K28" s="120">
        <f>(G28+I28)*1.1392</f>
        <v>0</v>
      </c>
      <c r="L28" s="13"/>
      <c r="M28" s="120">
        <f>G28+I28</f>
        <v>0</v>
      </c>
      <c r="N28" s="12"/>
      <c r="O28" s="47"/>
      <c r="P28" s="13"/>
      <c r="Q28" s="4"/>
      <c r="R28" s="48"/>
      <c r="S28" s="4"/>
      <c r="U28" s="219" t="s">
        <v>20</v>
      </c>
      <c r="V28" s="21"/>
      <c r="W28" s="219" t="s">
        <v>2</v>
      </c>
      <c r="X28" s="49"/>
      <c r="Y28" s="219" t="s">
        <v>2</v>
      </c>
      <c r="Z28" s="50"/>
      <c r="AA28" s="219" t="s">
        <v>3</v>
      </c>
      <c r="AC28" s="215" t="s">
        <v>3</v>
      </c>
      <c r="AF28" s="9"/>
      <c r="AG28" s="15"/>
      <c r="AH28" s="9"/>
      <c r="AI28" s="15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3:46" ht="20.100000000000001" customHeight="1" x14ac:dyDescent="0.25">
      <c r="C29" s="177" t="s">
        <v>88</v>
      </c>
      <c r="D29" s="51"/>
      <c r="E29" s="178"/>
      <c r="G29" s="121"/>
      <c r="H29" s="46"/>
      <c r="I29" s="121"/>
      <c r="J29" s="12"/>
      <c r="K29" s="121">
        <f>(G29+I29)*1.1255</f>
        <v>0</v>
      </c>
      <c r="L29" s="13"/>
      <c r="M29" s="121">
        <f>G29+I29</f>
        <v>0</v>
      </c>
      <c r="N29" s="12"/>
      <c r="O29" s="47"/>
      <c r="P29" s="13"/>
      <c r="Q29" s="37"/>
      <c r="R29" s="48"/>
      <c r="U29" s="52"/>
      <c r="V29" s="21"/>
      <c r="W29" s="52"/>
      <c r="X29" s="49"/>
      <c r="Y29" s="52"/>
      <c r="Z29" s="50"/>
      <c r="AA29" s="21"/>
      <c r="AB29" s="4"/>
      <c r="AC29" s="5"/>
      <c r="AF29" s="9"/>
      <c r="AG29" s="9"/>
      <c r="AH29" s="9"/>
      <c r="AI29" s="9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3:46" ht="20.100000000000001" customHeight="1" x14ac:dyDescent="0.25">
      <c r="C30" s="177" t="s">
        <v>91</v>
      </c>
      <c r="D30" s="51"/>
      <c r="E30" s="178"/>
      <c r="G30" s="121"/>
      <c r="H30" s="12"/>
      <c r="I30" s="121"/>
      <c r="J30" s="12"/>
      <c r="K30" s="121">
        <f>G30+I30</f>
        <v>0</v>
      </c>
      <c r="L30" s="13"/>
      <c r="M30" s="121">
        <f>G30+I30</f>
        <v>0</v>
      </c>
      <c r="N30" s="53"/>
      <c r="O30" s="47"/>
      <c r="P30" s="46"/>
      <c r="Q30" s="167" t="s">
        <v>78</v>
      </c>
      <c r="R30" s="168"/>
      <c r="S30" s="150"/>
      <c r="U30" s="265">
        <f>IF($S$11+$AA$11+$Y$23=0,"",12.5%)</f>
        <v>0.125</v>
      </c>
      <c r="V30" s="266"/>
      <c r="W30" s="265">
        <f>IF($S$11+$AA$11+$Y$23=0,"",12.5%)</f>
        <v>0.125</v>
      </c>
      <c r="X30" s="77"/>
      <c r="Y30" s="265">
        <f>IF($S$11+$AA$11+$Y$23=0,"",6%)</f>
        <v>0.06</v>
      </c>
      <c r="Z30" s="266"/>
      <c r="AA30" s="265">
        <f>IF($S$11+$AA$11+$Y$23=0,"",10%)</f>
        <v>0.1</v>
      </c>
      <c r="AB30" s="77"/>
      <c r="AC30" s="265">
        <f>IF($S$11+$AA$11+$Y$23=0,"",5%)</f>
        <v>0.05</v>
      </c>
      <c r="AF30" s="49"/>
      <c r="AG30" s="1"/>
      <c r="AH30" s="49"/>
      <c r="AI30" s="1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3:46" ht="20.100000000000001" customHeight="1" x14ac:dyDescent="0.25">
      <c r="C31" s="154" t="s">
        <v>66</v>
      </c>
      <c r="D31" s="51"/>
      <c r="E31" s="178"/>
      <c r="G31" s="121"/>
      <c r="H31" s="53"/>
      <c r="I31" s="121"/>
      <c r="J31" s="53"/>
      <c r="K31" s="121">
        <f>G31+I31</f>
        <v>0</v>
      </c>
      <c r="L31" s="13"/>
      <c r="M31" s="121" t="str">
        <f>IF(AND(ISNUMBER(G31),COUNT(I28:I30)&gt;0),MIN(G31,660),IF(AND(ISNUMBER(I31),COUNT(G28:G30)&gt;0),MIN(I31,660),IF(AND(ISNUMBER(G31),I31="",COUNT(I28:I30)=0),MIN(750,G31),IF(AND(ISNUMBER(G31),ISNUMBER(I31)),MIN(930,MAX(G31,I31)),""))))</f>
        <v/>
      </c>
      <c r="N31" s="53"/>
      <c r="O31" s="47"/>
      <c r="P31" s="12"/>
      <c r="Q31" s="169" t="s">
        <v>92</v>
      </c>
      <c r="R31" s="54"/>
      <c r="S31" s="152"/>
      <c r="U31" s="267">
        <f>IF($S$11+$AA$11+$Y$23=0,"",60000)</f>
        <v>60000</v>
      </c>
      <c r="V31" s="266"/>
      <c r="W31" s="268" t="str">
        <f>IF($S$11+$AA$11+$Y$23=0,"","non")</f>
        <v>non</v>
      </c>
      <c r="X31" s="77"/>
      <c r="Y31" s="268" t="str">
        <f>IF($S$11+$AA$11+$Y$23=0,"","non")</f>
        <v>non</v>
      </c>
      <c r="Z31" s="266"/>
      <c r="AA31" s="267">
        <f>IF($S$11+$AA$11+$Y$23=0,"",15000)</f>
        <v>15000</v>
      </c>
      <c r="AB31" s="77"/>
      <c r="AC31" s="267">
        <f>IF($S$11+$AA$11+$Y$23=0,"",15000)</f>
        <v>15000</v>
      </c>
      <c r="AF31" s="49"/>
      <c r="AG31" s="55"/>
      <c r="AH31" s="49"/>
      <c r="AI31" s="55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3:46" ht="20.100000000000001" customHeight="1" x14ac:dyDescent="0.25">
      <c r="C32" s="154" t="s">
        <v>67</v>
      </c>
      <c r="D32" s="51"/>
      <c r="E32" s="178"/>
      <c r="G32" s="121"/>
      <c r="H32" s="53"/>
      <c r="I32" s="121"/>
      <c r="J32" s="53"/>
      <c r="K32" s="121">
        <f>G32+I32</f>
        <v>0</v>
      </c>
      <c r="L32" s="53"/>
      <c r="M32" s="121">
        <f>G32+I32</f>
        <v>0</v>
      </c>
      <c r="N32" s="53"/>
      <c r="O32" s="47"/>
      <c r="P32" s="12"/>
      <c r="Q32" s="169" t="s">
        <v>74</v>
      </c>
      <c r="R32" s="54"/>
      <c r="S32" s="152"/>
      <c r="U32" s="269">
        <f>IF(S6&gt;=60000,(S11-60000)*12.5%,0)</f>
        <v>13750</v>
      </c>
      <c r="V32" s="270"/>
      <c r="W32" s="269">
        <f>SUM(S6+AA11)*12.5%</f>
        <v>21250</v>
      </c>
      <c r="X32" s="63"/>
      <c r="Y32" s="269">
        <f>SUM(S11+AA11)*6%</f>
        <v>10200</v>
      </c>
      <c r="Z32" s="270"/>
      <c r="AA32" s="269">
        <f>IF(S11&gt;=15000,(S11-15000)*10%,0)</f>
        <v>15500</v>
      </c>
      <c r="AB32" s="63"/>
      <c r="AC32" s="269">
        <f>IF(S11&gt;15000,(S11-15000)*5%,0)</f>
        <v>7750</v>
      </c>
      <c r="AF32" s="21"/>
      <c r="AG32" s="56"/>
      <c r="AH32" s="21"/>
      <c r="AI32" s="56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1:46" ht="20.100000000000001" customHeight="1" x14ac:dyDescent="0.25">
      <c r="C33" s="154" t="s">
        <v>65</v>
      </c>
      <c r="D33" s="51"/>
      <c r="E33" s="178"/>
      <c r="G33" s="121"/>
      <c r="H33" s="53"/>
      <c r="I33" s="121"/>
      <c r="J33" s="53"/>
      <c r="K33" s="121">
        <f>MIN(COUNTA(G33:I33)*275,G33+I33)</f>
        <v>0</v>
      </c>
      <c r="L33" s="166"/>
      <c r="M33" s="121" t="str">
        <f>IF(AND(ISNUMBER(G33),COUNT(I28:I30)&gt;0),MIN(G33,630),IF(AND(ISNUMBER(I33),COUNT(G28:G30)&gt;0),MIN(I33,630),IF(AND(ISNUMBER(G33),I33="",COUNT(I28:I30)=0),MIN(850,G33),IF(AND(ISNUMBER(G33),ISNUMBER(I33)),MIN(1000,MAX(G33,I33)),""))))</f>
        <v/>
      </c>
      <c r="N33" s="53"/>
      <c r="O33" s="47"/>
      <c r="P33" s="53"/>
      <c r="Q33" s="169" t="s">
        <v>79</v>
      </c>
      <c r="R33" s="54"/>
      <c r="S33" s="152"/>
      <c r="U33" s="271">
        <f>SUM(AA61:AA67)</f>
        <v>1992.663</v>
      </c>
      <c r="V33" s="272"/>
      <c r="W33" s="271">
        <f>U33</f>
        <v>1992.663</v>
      </c>
      <c r="X33" s="63"/>
      <c r="Y33" s="271">
        <f>U33</f>
        <v>1992.663</v>
      </c>
      <c r="Z33" s="272"/>
      <c r="AA33" s="271">
        <f>U33</f>
        <v>1992.663</v>
      </c>
      <c r="AB33" s="63"/>
      <c r="AC33" s="271">
        <f>U33</f>
        <v>1992.663</v>
      </c>
      <c r="AF33" s="21"/>
      <c r="AG33" s="24"/>
      <c r="AH33" s="21"/>
      <c r="AI33" s="2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1:46" ht="20.100000000000001" customHeight="1" x14ac:dyDescent="0.25">
      <c r="A34" s="27"/>
      <c r="B34" s="6"/>
      <c r="C34" s="177" t="s">
        <v>30</v>
      </c>
      <c r="D34" s="51"/>
      <c r="E34" s="178"/>
      <c r="G34" s="121"/>
      <c r="H34" s="53"/>
      <c r="I34" s="121"/>
      <c r="J34" s="53"/>
      <c r="K34" s="121">
        <f>MIN(COUNTA(G34:I34)*80,G34+I34)</f>
        <v>0</v>
      </c>
      <c r="L34" s="53"/>
      <c r="M34" s="267" t="s">
        <v>53</v>
      </c>
      <c r="N34" s="47"/>
      <c r="O34" s="47"/>
      <c r="P34" s="53"/>
      <c r="Q34" s="169" t="s">
        <v>13</v>
      </c>
      <c r="R34" s="54"/>
      <c r="S34" s="152"/>
      <c r="U34" s="267">
        <f>IF($S$11+$AA$11+$Y$23=0,"",900)</f>
        <v>900</v>
      </c>
      <c r="V34" s="272"/>
      <c r="W34" s="267">
        <f>IF($S$11+$AA$11+$Y$23=0,"",900)</f>
        <v>900</v>
      </c>
      <c r="X34" s="63"/>
      <c r="Y34" s="267">
        <f>IF($S$11+$AA$11+$Y$23=0,"",900)</f>
        <v>900</v>
      </c>
      <c r="Z34" s="272"/>
      <c r="AA34" s="267">
        <f>IF($S$11+$AA$11+$Y$23=0,"",900)</f>
        <v>900</v>
      </c>
      <c r="AB34" s="63"/>
      <c r="AC34" s="267">
        <f>IF($S$11+$AA$11+$Y$23=0,"",900)</f>
        <v>900</v>
      </c>
      <c r="AF34" s="21"/>
      <c r="AG34" s="21"/>
      <c r="AH34" s="21"/>
      <c r="AI34" s="21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1:46" ht="20.100000000000001" customHeight="1" x14ac:dyDescent="0.25">
      <c r="C35" s="177" t="s">
        <v>47</v>
      </c>
      <c r="D35" s="51"/>
      <c r="E35" s="178"/>
      <c r="G35" s="121"/>
      <c r="H35" s="53"/>
      <c r="I35" s="121"/>
      <c r="J35" s="53"/>
      <c r="K35" s="121">
        <f>IF((G35+I35)/2&gt;(K28+K29+K30+K31+K32+K33)*0.2,(K28+K29+K30+K31+K32+K33)*0.2,(G35+I35)/2)</f>
        <v>0</v>
      </c>
      <c r="L35" s="47"/>
      <c r="M35" s="267" t="s">
        <v>53</v>
      </c>
      <c r="N35" s="47"/>
      <c r="O35" s="47"/>
      <c r="P35" s="53"/>
      <c r="Q35" s="170" t="s">
        <v>15</v>
      </c>
      <c r="R35" s="171"/>
      <c r="S35" s="157"/>
      <c r="U35" s="273">
        <f>SUM(U32:U34)</f>
        <v>16642.663</v>
      </c>
      <c r="V35" s="272"/>
      <c r="W35" s="273">
        <f>SUM(W32:W34)</f>
        <v>24142.663</v>
      </c>
      <c r="X35" s="63"/>
      <c r="Y35" s="273">
        <f>SUM(Y32:Y34)</f>
        <v>13092.663</v>
      </c>
      <c r="Z35" s="272"/>
      <c r="AA35" s="273">
        <f>SUM(AA32:AA34)</f>
        <v>18392.663</v>
      </c>
      <c r="AB35" s="63"/>
      <c r="AC35" s="273">
        <f>SUM(AC32:AC34)</f>
        <v>10642.663</v>
      </c>
      <c r="AF35" s="21"/>
      <c r="AG35" s="24"/>
      <c r="AH35" s="21"/>
      <c r="AI35" s="2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1:46" ht="20.100000000000001" customHeight="1" x14ac:dyDescent="0.25">
      <c r="C36" s="177" t="s">
        <v>46</v>
      </c>
      <c r="D36" s="51"/>
      <c r="E36" s="178"/>
      <c r="G36" s="173"/>
      <c r="H36" s="53"/>
      <c r="I36" s="173"/>
      <c r="J36" s="53"/>
      <c r="K36" s="121">
        <f>IF((G36+I36)*75&gt;(K28+K29+K30+K31+K32+K33)*0.2,(K28+K29+K30+K31+K32+K33)*0.2,(G36+I36)*75)</f>
        <v>0</v>
      </c>
      <c r="L36" s="47"/>
      <c r="M36" s="267" t="s">
        <v>53</v>
      </c>
      <c r="N36" s="53"/>
      <c r="O36" s="47"/>
      <c r="P36" s="53"/>
      <c r="Q36" s="57"/>
      <c r="R36" s="48"/>
      <c r="U36" s="24"/>
      <c r="V36" s="24"/>
      <c r="W36" s="24"/>
      <c r="X36" s="49"/>
      <c r="Y36" s="24"/>
      <c r="Z36" s="24"/>
      <c r="AA36" s="24"/>
      <c r="AB36" s="58"/>
      <c r="AC36" s="24"/>
      <c r="AF36" s="49"/>
      <c r="AG36" s="24"/>
      <c r="AH36" s="49"/>
      <c r="AI36" s="2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1:46" ht="20.100000000000001" customHeight="1" x14ac:dyDescent="0.25">
      <c r="C37" s="154" t="s">
        <v>64</v>
      </c>
      <c r="D37" s="51"/>
      <c r="E37" s="178"/>
      <c r="G37" s="121"/>
      <c r="H37" s="53"/>
      <c r="I37" s="121"/>
      <c r="J37" s="53"/>
      <c r="K37" s="121">
        <f>(G37+I37)*0.85</f>
        <v>0</v>
      </c>
      <c r="L37" s="13"/>
      <c r="M37" s="121">
        <f>(I37+G37)*0.8</f>
        <v>0</v>
      </c>
      <c r="N37" s="53"/>
      <c r="O37" s="47"/>
      <c r="P37" s="53"/>
      <c r="Q37" s="4"/>
      <c r="R37" s="16"/>
      <c r="S37" s="4"/>
      <c r="U37" s="198" t="s">
        <v>50</v>
      </c>
      <c r="V37" s="199"/>
      <c r="W37" s="199"/>
      <c r="X37" s="199"/>
      <c r="Y37" s="199"/>
      <c r="Z37" s="199"/>
      <c r="AA37" s="199"/>
      <c r="AB37" s="199"/>
      <c r="AC37" s="200"/>
      <c r="AF37" s="16"/>
      <c r="AG37" s="16"/>
      <c r="AH37" s="16"/>
      <c r="AI37" s="16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1:46" ht="20.100000000000001" customHeight="1" x14ac:dyDescent="0.25">
      <c r="C38" s="154" t="s">
        <v>63</v>
      </c>
      <c r="D38" s="51"/>
      <c r="E38" s="178"/>
      <c r="G38" s="121"/>
      <c r="H38" s="53"/>
      <c r="I38" s="121"/>
      <c r="J38" s="53"/>
      <c r="K38" s="121">
        <f>(G38+I38)*0.85</f>
        <v>0</v>
      </c>
      <c r="L38" s="13"/>
      <c r="M38" s="121">
        <f>(I38+G38)*0.8</f>
        <v>0</v>
      </c>
      <c r="N38" s="53"/>
      <c r="O38" s="47"/>
      <c r="P38" s="53"/>
      <c r="Q38" s="37"/>
      <c r="R38" s="59"/>
      <c r="U38" s="21"/>
      <c r="V38" s="24"/>
      <c r="W38" s="21"/>
      <c r="X38" s="60"/>
      <c r="Y38" s="21"/>
      <c r="Z38" s="24"/>
      <c r="AA38" s="21"/>
      <c r="AB38" s="58"/>
      <c r="AC38" s="21"/>
      <c r="AF38" s="49"/>
      <c r="AG38" s="21"/>
      <c r="AH38" s="49"/>
      <c r="AI38" s="21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1:46" ht="20.100000000000001" customHeight="1" x14ac:dyDescent="0.25">
      <c r="C39" s="154" t="s">
        <v>86</v>
      </c>
      <c r="D39" s="51"/>
      <c r="E39" s="178"/>
      <c r="G39" s="121"/>
      <c r="H39" s="53"/>
      <c r="I39" s="121"/>
      <c r="J39" s="53"/>
      <c r="K39" s="121">
        <f>G39+I39</f>
        <v>0</v>
      </c>
      <c r="L39" s="13"/>
      <c r="M39" s="121">
        <f>I39+G39</f>
        <v>0</v>
      </c>
      <c r="N39" s="53"/>
      <c r="O39" s="47"/>
      <c r="P39" s="53"/>
      <c r="Q39" s="182" t="s">
        <v>75</v>
      </c>
      <c r="R39" s="168"/>
      <c r="S39" s="150"/>
      <c r="U39" s="274">
        <f>(((S6+S9+AA11+Y23)*110%*1.3%))+300</f>
        <v>2731.0000000000005</v>
      </c>
      <c r="V39" s="272"/>
      <c r="W39" s="274">
        <f>(((S6+S9+AA11+Y23)*110%*1.3%))+300</f>
        <v>2731.0000000000005</v>
      </c>
      <c r="X39" s="272"/>
      <c r="Y39" s="274">
        <f>(((S6+S9+AA11+Y23)*110%*1.3%))+300</f>
        <v>2731.0000000000005</v>
      </c>
      <c r="Z39" s="272"/>
      <c r="AA39" s="274">
        <f>(((S6+S9+AA11+Y23)*110%*1.3%))+300</f>
        <v>2731.0000000000005</v>
      </c>
      <c r="AB39" s="272"/>
      <c r="AC39" s="274">
        <f>(((S6+S9+AA11+Y23)*110%*1.3%))+300</f>
        <v>2731.0000000000005</v>
      </c>
      <c r="AF39" s="24"/>
      <c r="AG39" s="24"/>
      <c r="AH39" s="24"/>
      <c r="AI39" s="2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1:46" ht="20.100000000000001" customHeight="1" x14ac:dyDescent="0.25">
      <c r="C40" s="154" t="s">
        <v>62</v>
      </c>
      <c r="D40" s="51"/>
      <c r="E40" s="178"/>
      <c r="G40" s="121"/>
      <c r="H40" s="53"/>
      <c r="I40" s="121"/>
      <c r="J40" s="53"/>
      <c r="K40" s="121">
        <f>G40+I40</f>
        <v>0</v>
      </c>
      <c r="L40" s="13"/>
      <c r="M40" s="121">
        <f>I40+G40</f>
        <v>0</v>
      </c>
      <c r="N40" s="53"/>
      <c r="O40" s="47"/>
      <c r="P40" s="53"/>
      <c r="Q40" s="183" t="s">
        <v>79</v>
      </c>
      <c r="R40" s="54"/>
      <c r="S40" s="152"/>
      <c r="U40" s="271">
        <f>SUM(AA69:AA75)</f>
        <v>811.31519999999989</v>
      </c>
      <c r="V40" s="63"/>
      <c r="W40" s="267">
        <f>U40</f>
        <v>811.31519999999989</v>
      </c>
      <c r="X40" s="63"/>
      <c r="Y40" s="267">
        <f>U40</f>
        <v>811.31519999999989</v>
      </c>
      <c r="Z40" s="63"/>
      <c r="AA40" s="267">
        <f>U40</f>
        <v>811.31519999999989</v>
      </c>
      <c r="AB40" s="63"/>
      <c r="AC40" s="267">
        <f>U40</f>
        <v>811.31519999999989</v>
      </c>
      <c r="AF40" s="21"/>
      <c r="AG40" s="21"/>
      <c r="AH40" s="21"/>
      <c r="AI40" s="21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1:46" ht="20.100000000000001" customHeight="1" x14ac:dyDescent="0.25">
      <c r="C41" s="154" t="s">
        <v>61</v>
      </c>
      <c r="D41" s="51"/>
      <c r="E41" s="178"/>
      <c r="G41" s="121"/>
      <c r="H41" s="53"/>
      <c r="I41" s="121"/>
      <c r="J41" s="53"/>
      <c r="K41" s="121">
        <f>G41+I41</f>
        <v>0</v>
      </c>
      <c r="L41" s="13"/>
      <c r="M41" s="121">
        <f>I41+G41</f>
        <v>0</v>
      </c>
      <c r="N41" s="53"/>
      <c r="O41" s="47"/>
      <c r="P41" s="53"/>
      <c r="Q41" s="183" t="s">
        <v>21</v>
      </c>
      <c r="R41" s="54"/>
      <c r="S41" s="152"/>
      <c r="U41" s="267">
        <f>IF($S$11+$AA$11+$Y$23=0,"",1000)</f>
        <v>1000</v>
      </c>
      <c r="V41" s="63"/>
      <c r="W41" s="267">
        <f>U41</f>
        <v>1000</v>
      </c>
      <c r="X41" s="63"/>
      <c r="Y41" s="267">
        <f>U41</f>
        <v>1000</v>
      </c>
      <c r="Z41" s="63"/>
      <c r="AA41" s="267">
        <f>U41</f>
        <v>1000</v>
      </c>
      <c r="AB41" s="63"/>
      <c r="AC41" s="267">
        <f>U41</f>
        <v>1000</v>
      </c>
      <c r="AF41" s="21"/>
      <c r="AG41" s="21"/>
      <c r="AH41" s="21"/>
      <c r="AI41" s="21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1:46" ht="20.100000000000001" customHeight="1" x14ac:dyDescent="0.25">
      <c r="C42" s="154" t="s">
        <v>89</v>
      </c>
      <c r="D42" s="51"/>
      <c r="E42" s="178"/>
      <c r="G42" s="121"/>
      <c r="H42" s="53"/>
      <c r="I42" s="121"/>
      <c r="J42" s="53"/>
      <c r="K42" s="121">
        <f>G42+I42</f>
        <v>0</v>
      </c>
      <c r="L42" s="13"/>
      <c r="M42" s="121">
        <f>I42+G42</f>
        <v>0</v>
      </c>
      <c r="N42" s="53"/>
      <c r="O42" s="47"/>
      <c r="P42" s="53"/>
      <c r="Q42" s="155" t="s">
        <v>16</v>
      </c>
      <c r="R42" s="171"/>
      <c r="S42" s="181"/>
      <c r="U42" s="275">
        <f>SUM(U39:U41)</f>
        <v>4542.3152000000009</v>
      </c>
      <c r="V42" s="63"/>
      <c r="W42" s="275">
        <f>U42</f>
        <v>4542.3152000000009</v>
      </c>
      <c r="X42" s="63"/>
      <c r="Y42" s="275">
        <f>U42</f>
        <v>4542.3152000000009</v>
      </c>
      <c r="Z42" s="63"/>
      <c r="AA42" s="275">
        <f>U42</f>
        <v>4542.3152000000009</v>
      </c>
      <c r="AB42" s="63"/>
      <c r="AC42" s="275">
        <f>U42</f>
        <v>4542.3152000000009</v>
      </c>
      <c r="AF42" s="21"/>
      <c r="AG42" s="21"/>
      <c r="AH42" s="21"/>
      <c r="AI42" s="21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1:46" ht="20.100000000000001" customHeight="1" x14ac:dyDescent="0.25">
      <c r="C43" s="154" t="s">
        <v>31</v>
      </c>
      <c r="D43" s="51"/>
      <c r="E43" s="178"/>
      <c r="G43" s="140"/>
      <c r="H43" s="53"/>
      <c r="I43" s="140"/>
      <c r="J43" s="53"/>
      <c r="K43" s="172">
        <f>G43+I43</f>
        <v>0</v>
      </c>
      <c r="L43" s="13"/>
      <c r="M43" s="172">
        <f>I43+G43</f>
        <v>0</v>
      </c>
      <c r="N43" s="53"/>
      <c r="O43" s="61"/>
      <c r="P43" s="53"/>
      <c r="Q43" s="62"/>
      <c r="R43" s="48"/>
      <c r="U43" s="21"/>
      <c r="V43" s="21"/>
      <c r="W43" s="21"/>
      <c r="X43" s="21"/>
      <c r="Y43" s="21"/>
      <c r="Z43" s="21"/>
      <c r="AA43" s="21"/>
      <c r="AB43" s="21"/>
      <c r="AC43" s="21"/>
      <c r="AF43" s="21"/>
      <c r="AG43" s="21"/>
      <c r="AH43" s="21"/>
      <c r="AI43" s="21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1:46" ht="20.100000000000001" customHeight="1" x14ac:dyDescent="0.25">
      <c r="C44" s="179" t="s">
        <v>90</v>
      </c>
      <c r="D44" s="180"/>
      <c r="E44" s="181"/>
      <c r="G44" s="132">
        <f>SUM(G28:G37)-G40-G41-G42-G43</f>
        <v>0</v>
      </c>
      <c r="H44" s="53"/>
      <c r="I44" s="132">
        <f>SUM(I28:I37)-I40-I41-I42-I43</f>
        <v>0</v>
      </c>
      <c r="J44" s="53"/>
      <c r="K44" s="132">
        <f>SUM(K28:K39)-K40-K41-K42-K43</f>
        <v>0</v>
      </c>
      <c r="L44" s="63"/>
      <c r="M44" s="132">
        <f t="shared" ref="M44" si="2">SUM(M28:M39)-M40-M41-M42-M43</f>
        <v>0</v>
      </c>
      <c r="N44" s="53"/>
      <c r="O44" s="47"/>
      <c r="P44" s="53"/>
      <c r="Q44" s="184" t="s">
        <v>80</v>
      </c>
      <c r="R44" s="168"/>
      <c r="S44" s="150"/>
      <c r="U44" s="274">
        <f>U42+U35</f>
        <v>21184.978200000001</v>
      </c>
      <c r="V44" s="63"/>
      <c r="W44" s="274">
        <f>W42+W35</f>
        <v>28684.978200000001</v>
      </c>
      <c r="X44" s="63"/>
      <c r="Y44" s="274">
        <f>Y42+Y35</f>
        <v>17634.978200000001</v>
      </c>
      <c r="Z44" s="63"/>
      <c r="AA44" s="274">
        <f>AA42+AA35</f>
        <v>22934.978200000001</v>
      </c>
      <c r="AB44" s="63"/>
      <c r="AC44" s="274">
        <f>AC42+AC35</f>
        <v>15184.978200000001</v>
      </c>
      <c r="AF44" s="21"/>
      <c r="AG44" s="24"/>
      <c r="AH44" s="21"/>
      <c r="AI44" s="2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1:46" ht="20.100000000000001" customHeight="1" thickBot="1" x14ac:dyDescent="0.3">
      <c r="C45" s="19"/>
      <c r="E45" s="61"/>
      <c r="F45" s="53"/>
      <c r="G45" s="61"/>
      <c r="H45" s="53"/>
      <c r="I45" s="61"/>
      <c r="J45" s="53"/>
      <c r="K45" s="61"/>
      <c r="L45" s="53"/>
      <c r="M45" s="61"/>
      <c r="N45" s="53"/>
      <c r="O45" s="47"/>
      <c r="P45" s="53"/>
      <c r="Q45" s="153" t="s">
        <v>60</v>
      </c>
      <c r="R45" s="54"/>
      <c r="S45" s="152"/>
      <c r="U45" s="271">
        <f>S11+Y23+AA11</f>
        <v>170000</v>
      </c>
      <c r="V45" s="63"/>
      <c r="W45" s="267">
        <f>S11+Y23+AA11</f>
        <v>170000</v>
      </c>
      <c r="X45" s="63"/>
      <c r="Y45" s="267">
        <f>S11+AA11+Y23</f>
        <v>170000</v>
      </c>
      <c r="Z45" s="63"/>
      <c r="AA45" s="267">
        <f>S11+Y23+AA11</f>
        <v>170000</v>
      </c>
      <c r="AB45" s="63"/>
      <c r="AC45" s="267">
        <f>S11+Y23+AA11</f>
        <v>170000</v>
      </c>
      <c r="AF45" s="21"/>
      <c r="AG45" s="21"/>
      <c r="AH45" s="21"/>
      <c r="AI45" s="21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  <row r="46" spans="1:46" ht="20.100000000000001" customHeight="1" thickBot="1" x14ac:dyDescent="0.3">
      <c r="C46" s="131" t="s">
        <v>54</v>
      </c>
      <c r="D46" s="6"/>
      <c r="E46" s="61"/>
      <c r="F46" s="53"/>
      <c r="G46" s="61"/>
      <c r="H46" s="53"/>
      <c r="I46" s="61"/>
      <c r="J46" s="53"/>
      <c r="K46" s="220">
        <f>K44*40%</f>
        <v>0</v>
      </c>
      <c r="L46" s="53"/>
      <c r="M46" s="221">
        <f>CHOOSE(MATCH(M44,{0;2001;3001},1),0.4,0.45,0.5)*M44</f>
        <v>0</v>
      </c>
      <c r="N46" s="53"/>
      <c r="O46" s="47"/>
      <c r="P46" s="53"/>
      <c r="Q46" s="155" t="s">
        <v>117</v>
      </c>
      <c r="R46" s="171"/>
      <c r="S46" s="157"/>
      <c r="U46" s="273">
        <f>SUM(U44:U45)</f>
        <v>191184.97820000001</v>
      </c>
      <c r="V46" s="272"/>
      <c r="W46" s="273">
        <f>SUM(W44:W45)</f>
        <v>198684.97820000001</v>
      </c>
      <c r="X46" s="272"/>
      <c r="Y46" s="273">
        <f>SUM(Y44:Y45)</f>
        <v>187634.97820000001</v>
      </c>
      <c r="Z46" s="272"/>
      <c r="AA46" s="273">
        <f>SUM(AA44:AA45)</f>
        <v>192934.97820000001</v>
      </c>
      <c r="AB46" s="63"/>
      <c r="AC46" s="273">
        <f>SUM(AC44:AC45)</f>
        <v>185184.97820000001</v>
      </c>
      <c r="AF46" s="21"/>
      <c r="AG46" s="24"/>
      <c r="AH46" s="21"/>
      <c r="AI46" s="2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</row>
    <row r="47" spans="1:46" ht="20.100000000000001" customHeight="1" x14ac:dyDescent="0.25">
      <c r="C47" s="10"/>
      <c r="D47" s="6"/>
      <c r="E47" s="61"/>
      <c r="F47" s="53"/>
      <c r="G47" s="61"/>
      <c r="H47" s="53"/>
      <c r="I47" s="61"/>
      <c r="J47" s="53"/>
      <c r="K47" s="64"/>
      <c r="L47" s="53"/>
      <c r="M47" s="61"/>
      <c r="N47" s="53"/>
      <c r="O47" s="47"/>
      <c r="P47" s="53"/>
      <c r="Q47" s="6"/>
      <c r="R47" s="9"/>
      <c r="U47" s="21"/>
      <c r="V47" s="21"/>
      <c r="W47" s="21"/>
      <c r="X47" s="21"/>
      <c r="Y47" s="21"/>
      <c r="Z47" s="21"/>
      <c r="AA47" s="21"/>
      <c r="AB47" s="21"/>
      <c r="AC47" s="21"/>
      <c r="AF47" s="21"/>
      <c r="AG47" s="21"/>
      <c r="AH47" s="21"/>
      <c r="AI47" s="21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</row>
    <row r="48" spans="1:46" ht="20.100000000000001" customHeight="1" x14ac:dyDescent="0.25">
      <c r="C48" s="10"/>
      <c r="D48" s="6"/>
      <c r="E48" s="61"/>
      <c r="F48" s="53"/>
      <c r="G48" s="219" t="s">
        <v>20</v>
      </c>
      <c r="H48" s="21"/>
      <c r="I48" s="219" t="s">
        <v>96</v>
      </c>
      <c r="J48" s="49"/>
      <c r="K48" s="219" t="s">
        <v>97</v>
      </c>
      <c r="L48" s="50"/>
      <c r="M48" s="219" t="s">
        <v>98</v>
      </c>
      <c r="O48" s="215" t="s">
        <v>99</v>
      </c>
      <c r="P48" s="53"/>
      <c r="Q48" s="6"/>
      <c r="R48" s="9"/>
      <c r="S48" s="4"/>
      <c r="U48" s="219" t="s">
        <v>20</v>
      </c>
      <c r="V48" s="21"/>
      <c r="W48" s="219" t="s">
        <v>96</v>
      </c>
      <c r="X48" s="49"/>
      <c r="Y48" s="219" t="s">
        <v>97</v>
      </c>
      <c r="Z48" s="50"/>
      <c r="AA48" s="219" t="s">
        <v>98</v>
      </c>
      <c r="AC48" s="215" t="s">
        <v>99</v>
      </c>
      <c r="AF48" s="21"/>
      <c r="AG48" s="21"/>
      <c r="AH48" s="21"/>
      <c r="AI48" s="21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</row>
    <row r="49" spans="3:46" ht="20.100000000000001" customHeight="1" x14ac:dyDescent="0.25">
      <c r="C49" s="204" t="s">
        <v>85</v>
      </c>
      <c r="D49" s="205"/>
      <c r="E49" s="206"/>
      <c r="F49" s="4"/>
      <c r="G49" s="276">
        <f>IF(U46&lt;=G51,MAX(250,MIN(1500,U46*0.5%)),IF(U46&gt;G51,MAX(250,MIN(3500,U46*2%))))</f>
        <v>3500</v>
      </c>
      <c r="H49" s="270"/>
      <c r="I49" s="276">
        <f>IF(W46&lt;=I51,MAX(250,MIN(1500,W46*0.5%)),IF(W46&gt;I51,MAX(250,MIN(3500,W46*2%))))</f>
        <v>3500</v>
      </c>
      <c r="J49" s="270"/>
      <c r="K49" s="276">
        <f>IF(Y46&lt;=K51,MAX(250,MIN(1500,Y46*0.5%)),IF(Y46&gt;K51,MAX(250,MIN(3500,Y46*2%))))</f>
        <v>3500</v>
      </c>
      <c r="L49" s="270"/>
      <c r="M49" s="276">
        <f>IF(AA46&lt;=M51,MAX(250,MIN(1500,AA46*0.5%)),IF(AA46&gt;M51,MAX(250,MIN(3500,AA46*2%))))</f>
        <v>3500</v>
      </c>
      <c r="N49" s="63"/>
      <c r="O49" s="276">
        <f>IF(AC46&lt;=O51,MAX(250,MIN(1500,AC46*0.5%)),IF(AC46&gt;O51,MAX(250,MIN(3500,AC46*2%))))</f>
        <v>3500</v>
      </c>
      <c r="P49" s="53"/>
      <c r="Q49" s="186" t="s">
        <v>93</v>
      </c>
      <c r="R49" s="187"/>
      <c r="S49" s="188"/>
      <c r="U49" s="276">
        <f>CHOOSE(MATCH(U46,{0;30001;250001;500001},1),175,290,500,750)</f>
        <v>290</v>
      </c>
      <c r="V49" s="270"/>
      <c r="W49" s="276">
        <f>CHOOSE(MATCH(W46,{0;30001;250001;500001},1),175,290,500,750)</f>
        <v>290</v>
      </c>
      <c r="X49" s="270"/>
      <c r="Y49" s="276">
        <f>CHOOSE(MATCH(Y46,{0;30001;250001;500001},1),175,290,500,750)</f>
        <v>290</v>
      </c>
      <c r="Z49" s="270"/>
      <c r="AA49" s="276">
        <f>CHOOSE(MATCH(AA46,{0;30001;250001;500001},1),175,290,500,750)</f>
        <v>290</v>
      </c>
      <c r="AB49" s="270"/>
      <c r="AC49" s="276">
        <f>CHOOSE(MATCH(AC46,{0;30001;250001;500001},1),175,290,500,750)</f>
        <v>290</v>
      </c>
      <c r="AF49" s="21"/>
      <c r="AG49" s="56"/>
      <c r="AH49" s="21"/>
      <c r="AI49" s="56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</row>
    <row r="50" spans="3:46" ht="20.100000000000001" customHeight="1" x14ac:dyDescent="0.25">
      <c r="C50" s="207" t="s">
        <v>81</v>
      </c>
      <c r="D50" s="208"/>
      <c r="E50" s="209"/>
      <c r="F50" s="4"/>
      <c r="G50" s="271">
        <f>U46+G49</f>
        <v>194684.97820000001</v>
      </c>
      <c r="H50" s="272"/>
      <c r="I50" s="271">
        <f>I49+W46</f>
        <v>202184.97820000001</v>
      </c>
      <c r="J50" s="272"/>
      <c r="K50" s="271">
        <f>K49+Y46</f>
        <v>191134.97820000001</v>
      </c>
      <c r="L50" s="272"/>
      <c r="M50" s="271">
        <f>M49+AA46</f>
        <v>196434.97820000001</v>
      </c>
      <c r="N50" s="63"/>
      <c r="O50" s="271">
        <f>O49+AC46</f>
        <v>188684.97820000001</v>
      </c>
      <c r="P50" s="53"/>
      <c r="Q50" s="189" t="s">
        <v>82</v>
      </c>
      <c r="R50" s="190"/>
      <c r="S50" s="191"/>
      <c r="U50" s="271">
        <f>U46+U49</f>
        <v>191474.97820000001</v>
      </c>
      <c r="V50" s="272"/>
      <c r="W50" s="271">
        <f>W46+W49</f>
        <v>198974.97820000001</v>
      </c>
      <c r="X50" s="272"/>
      <c r="Y50" s="271">
        <f>Y46+Y49</f>
        <v>187924.97820000001</v>
      </c>
      <c r="Z50" s="272"/>
      <c r="AA50" s="271">
        <f>AA46+AA49</f>
        <v>193224.97820000001</v>
      </c>
      <c r="AB50" s="272"/>
      <c r="AC50" s="271">
        <f>AC46+AC49</f>
        <v>185474.97820000001</v>
      </c>
      <c r="AF50" s="21"/>
      <c r="AG50" s="24"/>
      <c r="AH50" s="21"/>
      <c r="AI50" s="24"/>
      <c r="AK50" s="4"/>
      <c r="AL50" s="4"/>
      <c r="AM50" s="4"/>
      <c r="AN50" s="4"/>
      <c r="AO50" s="4"/>
      <c r="AP50" s="4"/>
      <c r="AQ50" s="4"/>
      <c r="AR50" s="4"/>
      <c r="AS50" s="4"/>
      <c r="AT50" s="4"/>
    </row>
    <row r="51" spans="3:46" ht="20.100000000000001" customHeight="1" x14ac:dyDescent="0.25">
      <c r="C51" s="210" t="s">
        <v>94</v>
      </c>
      <c r="D51" s="211"/>
      <c r="E51" s="209"/>
      <c r="F51" s="4"/>
      <c r="G51" s="271">
        <f>S6+AA6+Y15+Y16+Y17+Y18</f>
        <v>170000</v>
      </c>
      <c r="H51" s="63"/>
      <c r="I51" s="267">
        <f>S6+AA6+Y15+Y16+Y17+Y18</f>
        <v>170000</v>
      </c>
      <c r="J51" s="63"/>
      <c r="K51" s="267">
        <f>S6+AA6+Y15+Y16+Y17+Y18</f>
        <v>170000</v>
      </c>
      <c r="L51" s="63"/>
      <c r="M51" s="267">
        <f>S6+AA6+Y15+Y16+Y17+Y18</f>
        <v>170000</v>
      </c>
      <c r="N51" s="63"/>
      <c r="O51" s="267">
        <f>S6+AA6+Y15+Y16+Y17+Y18</f>
        <v>170000</v>
      </c>
      <c r="P51" s="53"/>
      <c r="Q51" s="192" t="s">
        <v>76</v>
      </c>
      <c r="R51" s="193"/>
      <c r="S51" s="191"/>
      <c r="U51" s="271">
        <f>S11+AA11+Y20+Y21+Y22+Y23</f>
        <v>170000</v>
      </c>
      <c r="V51" s="63"/>
      <c r="W51" s="267">
        <f>S11+AA11+Y20+Y21+Y22+Y23</f>
        <v>170000</v>
      </c>
      <c r="X51" s="63"/>
      <c r="Y51" s="267">
        <f>S11+AA11+Y20+Y21+Y22+Y23</f>
        <v>170000</v>
      </c>
      <c r="Z51" s="63"/>
      <c r="AA51" s="267">
        <f>S11+AA11+Y20+Y21+Y22+Y23</f>
        <v>170000</v>
      </c>
      <c r="AB51" s="63"/>
      <c r="AC51" s="267">
        <f>S11+AA11+Y20+Y21+Y22+Y23</f>
        <v>170000</v>
      </c>
      <c r="AF51" s="21"/>
      <c r="AG51" s="21"/>
      <c r="AH51" s="21"/>
      <c r="AI51" s="1"/>
      <c r="AK51" s="4"/>
      <c r="AL51" s="4"/>
      <c r="AM51" s="4"/>
      <c r="AN51" s="4"/>
      <c r="AO51" s="4"/>
      <c r="AP51" s="4"/>
      <c r="AQ51" s="4"/>
      <c r="AR51" s="4"/>
      <c r="AS51" s="4"/>
      <c r="AT51" s="4"/>
    </row>
    <row r="52" spans="3:46" ht="20.100000000000001" customHeight="1" x14ac:dyDescent="0.25">
      <c r="C52" s="212" t="s">
        <v>115</v>
      </c>
      <c r="D52" s="213"/>
      <c r="E52" s="214"/>
      <c r="F52" s="4"/>
      <c r="G52" s="277">
        <f>IF(G51=0,0,G50/G51)</f>
        <v>1.145205754117647</v>
      </c>
      <c r="H52" s="272"/>
      <c r="I52" s="277">
        <f>IF(I51=0,0,I50/I51)</f>
        <v>1.1893234011764706</v>
      </c>
      <c r="J52" s="272"/>
      <c r="K52" s="277">
        <f>IF(K51=0,0,K50/K51)</f>
        <v>1.1243234011764707</v>
      </c>
      <c r="L52" s="272"/>
      <c r="M52" s="277">
        <f>IF(M51=0,0,M50/M51)</f>
        <v>1.155499871764706</v>
      </c>
      <c r="N52" s="63"/>
      <c r="O52" s="277">
        <f>IF(O51=0,0,O50/O51)</f>
        <v>1.1099116364705883</v>
      </c>
      <c r="P52" s="53"/>
      <c r="Q52" s="194" t="s">
        <v>116</v>
      </c>
      <c r="R52" s="195"/>
      <c r="S52" s="196"/>
      <c r="U52" s="277">
        <f>IF(G51=0,0,U50/U51)</f>
        <v>1.1263234011764707</v>
      </c>
      <c r="V52" s="272"/>
      <c r="W52" s="277">
        <f>IF(W51=0,0,W50/W51)</f>
        <v>1.1704410482352943</v>
      </c>
      <c r="X52" s="272"/>
      <c r="Y52" s="277">
        <f>IF(Y51=0,0,Y50/Y51)</f>
        <v>1.1054410482352941</v>
      </c>
      <c r="Z52" s="272"/>
      <c r="AA52" s="277">
        <f>IF(AA51=0,0,AA50/AA51)</f>
        <v>1.1366175188235295</v>
      </c>
      <c r="AB52" s="63"/>
      <c r="AC52" s="277">
        <f>IF(AC51=0,0,AC50/AC51)</f>
        <v>1.0910292835294118</v>
      </c>
      <c r="AF52" s="21"/>
      <c r="AG52" s="65"/>
      <c r="AH52" s="21"/>
      <c r="AI52" s="65"/>
      <c r="AK52" s="4"/>
      <c r="AL52" s="4"/>
      <c r="AM52" s="4"/>
      <c r="AN52" s="4"/>
      <c r="AO52" s="4"/>
      <c r="AP52" s="4"/>
      <c r="AQ52" s="4"/>
      <c r="AR52" s="4"/>
      <c r="AS52" s="4"/>
      <c r="AT52" s="4"/>
    </row>
    <row r="53" spans="3:46" ht="20.100000000000001" customHeight="1" x14ac:dyDescent="0.25">
      <c r="C53" s="6"/>
      <c r="E53" s="47"/>
      <c r="F53" s="53"/>
      <c r="G53" s="47"/>
      <c r="H53" s="53"/>
      <c r="I53" s="47"/>
      <c r="J53" s="53"/>
      <c r="K53" s="47"/>
      <c r="L53" s="53"/>
      <c r="M53" s="47"/>
      <c r="N53" s="49"/>
      <c r="O53" s="49"/>
      <c r="P53" s="53"/>
      <c r="Q53" s="44"/>
      <c r="R53" s="66"/>
      <c r="S53" s="65"/>
      <c r="T53" s="68"/>
      <c r="U53" s="65"/>
      <c r="V53" s="69"/>
      <c r="W53" s="65"/>
      <c r="X53" s="69"/>
      <c r="Y53" s="65"/>
      <c r="Z53" s="69"/>
      <c r="AA53" s="65"/>
      <c r="AB53" s="1"/>
      <c r="AC53" s="65"/>
      <c r="AF53" s="21"/>
      <c r="AG53" s="67"/>
      <c r="AH53" s="21"/>
      <c r="AI53" s="67"/>
      <c r="AK53" s="4"/>
      <c r="AL53" s="4"/>
      <c r="AM53" s="4"/>
      <c r="AN53" s="4"/>
      <c r="AO53" s="4"/>
      <c r="AP53" s="4"/>
      <c r="AQ53" s="4"/>
      <c r="AR53" s="4"/>
      <c r="AS53" s="4"/>
      <c r="AT53" s="4"/>
    </row>
    <row r="54" spans="3:46" ht="20.100000000000001" customHeight="1" x14ac:dyDescent="0.25">
      <c r="C54" s="6"/>
      <c r="E54" s="47"/>
      <c r="F54" s="53"/>
      <c r="G54" s="47"/>
      <c r="H54" s="53"/>
      <c r="I54" s="47"/>
      <c r="J54" s="53"/>
      <c r="K54" s="47"/>
      <c r="L54" s="53"/>
      <c r="M54" s="47"/>
      <c r="N54" s="49"/>
      <c r="O54" s="49"/>
      <c r="P54" s="53"/>
      <c r="Q54" s="49"/>
      <c r="R54" s="71"/>
      <c r="S54" s="1"/>
      <c r="T54" s="72"/>
      <c r="U54" s="1"/>
      <c r="V54" s="73"/>
      <c r="W54" s="1"/>
      <c r="X54" s="73"/>
      <c r="Y54" s="73"/>
      <c r="Z54" s="73"/>
      <c r="AA54" s="73"/>
      <c r="AB54" s="73"/>
      <c r="AC54" s="73"/>
      <c r="AF54" s="56"/>
      <c r="AG54" s="56"/>
      <c r="AH54" s="56"/>
      <c r="AI54" s="56"/>
      <c r="AK54" s="4"/>
      <c r="AL54" s="4"/>
      <c r="AM54" s="4"/>
      <c r="AN54" s="4"/>
      <c r="AO54" s="4"/>
      <c r="AP54" s="4"/>
      <c r="AQ54" s="4"/>
      <c r="AR54" s="4"/>
      <c r="AS54" s="4"/>
      <c r="AT54" s="4"/>
    </row>
    <row r="55" spans="3:46" ht="20.100000000000001" customHeight="1" x14ac:dyDescent="0.25">
      <c r="C55" s="6"/>
      <c r="E55" s="47"/>
      <c r="F55" s="53"/>
      <c r="G55" s="47"/>
      <c r="H55" s="53"/>
      <c r="I55" s="47"/>
      <c r="J55" s="53"/>
      <c r="K55" s="47"/>
      <c r="L55" s="53"/>
      <c r="M55" s="47"/>
      <c r="N55" s="49"/>
      <c r="O55" s="49"/>
      <c r="P55" s="53"/>
      <c r="Q55" s="49"/>
      <c r="R55" s="71"/>
      <c r="S55" s="1"/>
      <c r="T55" s="72"/>
      <c r="U55" s="1"/>
      <c r="V55" s="73"/>
      <c r="W55" s="1"/>
      <c r="X55" s="73"/>
      <c r="Y55" s="73"/>
      <c r="Z55" s="73"/>
      <c r="AA55" s="73"/>
      <c r="AB55" s="73"/>
      <c r="AC55" s="73"/>
      <c r="AF55" s="24"/>
      <c r="AG55" s="24"/>
      <c r="AH55" s="24"/>
      <c r="AI55" s="24"/>
      <c r="AK55" s="4"/>
      <c r="AL55" s="4"/>
      <c r="AM55" s="4"/>
      <c r="AN55" s="4"/>
      <c r="AO55" s="4"/>
      <c r="AP55" s="4"/>
      <c r="AQ55" s="4"/>
      <c r="AR55" s="4"/>
      <c r="AS55" s="4"/>
      <c r="AT55" s="4"/>
    </row>
    <row r="56" spans="3:46" ht="20.100000000000001" customHeight="1" x14ac:dyDescent="0.25">
      <c r="C56" s="6"/>
      <c r="E56" s="47"/>
      <c r="F56" s="53"/>
      <c r="G56" s="47"/>
      <c r="H56" s="53"/>
      <c r="I56" s="47"/>
      <c r="J56" s="53"/>
      <c r="K56" s="47"/>
      <c r="L56" s="53"/>
      <c r="M56" s="47"/>
      <c r="N56" s="49"/>
      <c r="O56" s="49"/>
      <c r="P56" s="53"/>
      <c r="Q56" s="49"/>
      <c r="R56" s="71"/>
      <c r="S56" s="1"/>
      <c r="T56" s="72"/>
      <c r="U56" s="1"/>
      <c r="V56" s="73"/>
      <c r="W56" s="1"/>
      <c r="X56" s="73"/>
      <c r="Y56" s="73"/>
      <c r="Z56" s="73"/>
      <c r="AA56" s="73"/>
      <c r="AB56" s="73"/>
      <c r="AC56" s="73"/>
      <c r="AF56" s="21"/>
      <c r="AG56" s="21"/>
      <c r="AH56" s="21"/>
      <c r="AI56" s="21"/>
      <c r="AK56" s="4"/>
      <c r="AL56" s="4"/>
      <c r="AM56" s="4"/>
      <c r="AN56" s="4"/>
      <c r="AO56" s="4"/>
      <c r="AP56" s="4"/>
      <c r="AQ56" s="4"/>
      <c r="AR56" s="4"/>
      <c r="AS56" s="4"/>
      <c r="AT56" s="4"/>
    </row>
    <row r="57" spans="3:46" ht="20.100000000000001" customHeight="1" x14ac:dyDescent="0.25">
      <c r="C57" s="6"/>
      <c r="E57" s="47"/>
      <c r="F57" s="53"/>
      <c r="G57" s="47"/>
      <c r="H57" s="53"/>
      <c r="I57" s="47"/>
      <c r="J57" s="53"/>
      <c r="K57" s="47"/>
      <c r="L57" s="53"/>
      <c r="M57" s="47"/>
      <c r="N57" s="49"/>
      <c r="O57" s="49"/>
      <c r="P57" s="53"/>
      <c r="Q57" s="49"/>
      <c r="R57" s="71"/>
      <c r="S57" s="1"/>
      <c r="T57" s="72"/>
      <c r="U57" s="1"/>
      <c r="V57" s="73"/>
      <c r="W57" s="1"/>
      <c r="X57" s="73"/>
      <c r="Y57" s="73"/>
      <c r="Z57" s="73"/>
      <c r="AA57" s="73"/>
      <c r="AB57" s="73"/>
      <c r="AC57" s="73"/>
      <c r="AF57" s="21"/>
      <c r="AG57" s="65"/>
      <c r="AH57" s="21"/>
      <c r="AI57" s="65"/>
      <c r="AK57" s="4"/>
      <c r="AL57" s="4"/>
      <c r="AM57" s="4"/>
      <c r="AN57" s="4"/>
      <c r="AO57" s="4"/>
      <c r="AP57" s="4"/>
      <c r="AQ57" s="4"/>
      <c r="AR57" s="4"/>
      <c r="AS57" s="4"/>
      <c r="AT57" s="4"/>
    </row>
    <row r="58" spans="3:46" ht="20.100000000000001" customHeight="1" x14ac:dyDescent="0.25">
      <c r="C58" s="6"/>
      <c r="E58" s="47"/>
      <c r="F58" s="53"/>
      <c r="G58" s="47"/>
      <c r="H58" s="53"/>
      <c r="I58" s="47"/>
      <c r="J58" s="53"/>
      <c r="K58" s="47"/>
      <c r="L58" s="53"/>
      <c r="M58" s="47"/>
      <c r="N58" s="49"/>
      <c r="O58" s="49"/>
      <c r="P58" s="53"/>
      <c r="Q58" s="80"/>
      <c r="R58" s="53"/>
      <c r="S58" s="67"/>
      <c r="T58" s="67"/>
      <c r="U58" s="67"/>
      <c r="V58" s="67"/>
      <c r="W58" s="67"/>
      <c r="X58" s="73"/>
      <c r="Y58" s="73"/>
      <c r="Z58" s="73"/>
      <c r="AA58" s="73"/>
      <c r="AB58" s="73"/>
      <c r="AC58" s="73"/>
      <c r="AD58" s="1"/>
      <c r="AE58" s="65"/>
      <c r="AF58" s="1"/>
      <c r="AG58" s="65"/>
      <c r="AK58" s="4"/>
      <c r="AL58" s="4"/>
      <c r="AM58" s="4"/>
      <c r="AN58" s="4"/>
      <c r="AO58" s="4"/>
      <c r="AP58" s="4"/>
      <c r="AQ58" s="4"/>
      <c r="AR58" s="4"/>
      <c r="AS58" s="4"/>
      <c r="AT58" s="4"/>
    </row>
    <row r="59" spans="3:46" s="70" customFormat="1" ht="20.100000000000001" hidden="1" customHeight="1" x14ac:dyDescent="0.25">
      <c r="C59" s="49"/>
      <c r="D59" s="71"/>
      <c r="E59" s="1"/>
      <c r="F59" s="72"/>
      <c r="G59" s="1"/>
      <c r="H59" s="73"/>
      <c r="I59" s="1"/>
      <c r="J59" s="73"/>
      <c r="K59" s="72"/>
      <c r="L59" s="72"/>
      <c r="M59" s="73"/>
      <c r="N59" s="73"/>
      <c r="O59" s="73"/>
      <c r="P59" s="73"/>
      <c r="Q59" s="80"/>
      <c r="R59" s="53"/>
      <c r="S59" s="67"/>
      <c r="T59" s="67"/>
      <c r="U59" s="67"/>
      <c r="V59" s="67"/>
      <c r="W59" s="67"/>
      <c r="X59" s="73"/>
      <c r="Y59" s="73"/>
      <c r="Z59" s="73"/>
      <c r="AA59" s="73"/>
      <c r="AB59" s="73"/>
      <c r="AC59" s="73"/>
      <c r="AD59" s="73"/>
      <c r="AE59" s="67"/>
      <c r="AF59" s="67"/>
      <c r="AG59" s="67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</row>
    <row r="60" spans="3:46" s="70" customFormat="1" ht="20.100000000000001" hidden="1" customHeight="1" x14ac:dyDescent="0.25">
      <c r="C60" s="49"/>
      <c r="D60" s="71"/>
      <c r="E60" s="1"/>
      <c r="F60" s="72"/>
      <c r="G60" s="1"/>
      <c r="H60" s="73"/>
      <c r="I60" s="1"/>
      <c r="J60" s="73"/>
      <c r="K60" s="72"/>
      <c r="L60" s="72"/>
      <c r="M60" s="73"/>
      <c r="N60" s="73"/>
      <c r="O60" s="73"/>
      <c r="P60" s="73"/>
      <c r="Q60" s="35"/>
      <c r="R60" s="66"/>
      <c r="S60" s="83" t="s">
        <v>8</v>
      </c>
      <c r="T60" s="83"/>
      <c r="U60" s="84">
        <v>0</v>
      </c>
      <c r="V60" s="84"/>
      <c r="W60" s="85">
        <v>7500</v>
      </c>
      <c r="X60" s="73"/>
      <c r="Y60" s="73"/>
      <c r="Z60" s="73"/>
      <c r="AA60" s="67"/>
      <c r="AB60" s="67"/>
      <c r="AC60" s="67"/>
      <c r="AD60" s="73"/>
      <c r="AE60" s="67"/>
      <c r="AF60" s="67"/>
      <c r="AG60" s="67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</row>
    <row r="61" spans="3:46" s="70" customFormat="1" ht="20.100000000000001" hidden="1" customHeight="1" x14ac:dyDescent="0.25">
      <c r="C61" s="10"/>
      <c r="D61" s="71"/>
      <c r="E61" s="74"/>
      <c r="F61" s="72"/>
      <c r="G61" s="73"/>
      <c r="H61" s="72"/>
      <c r="I61" s="72"/>
      <c r="J61" s="73"/>
      <c r="K61" s="72"/>
      <c r="L61" s="72"/>
      <c r="M61" s="73"/>
      <c r="N61" s="72"/>
      <c r="O61" s="73"/>
      <c r="P61" s="73"/>
      <c r="Q61" s="35"/>
      <c r="R61" s="66"/>
      <c r="S61" s="86" t="s">
        <v>9</v>
      </c>
      <c r="T61" s="86"/>
      <c r="U61" s="84">
        <v>7500</v>
      </c>
      <c r="V61" s="84"/>
      <c r="W61" s="85">
        <v>17500</v>
      </c>
      <c r="X61" s="73"/>
      <c r="Y61" s="73"/>
      <c r="Z61" s="73"/>
      <c r="AA61" s="87">
        <f t="shared" ref="AA61:AA67" si="3">Z64*X64</f>
        <v>342</v>
      </c>
      <c r="AB61" s="88"/>
      <c r="AC61" s="4"/>
      <c r="AD61" s="73"/>
      <c r="AE61" s="67"/>
      <c r="AF61" s="67"/>
      <c r="AG61" s="67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</row>
    <row r="62" spans="3:46" s="70" customFormat="1" ht="20.100000000000001" hidden="1" customHeight="1" x14ac:dyDescent="0.25">
      <c r="C62" s="75"/>
      <c r="D62" s="76"/>
      <c r="E62" s="77"/>
      <c r="F62" s="72"/>
      <c r="G62" s="77"/>
      <c r="H62" s="49"/>
      <c r="I62" s="49"/>
      <c r="J62" s="73"/>
      <c r="K62" s="72"/>
      <c r="L62" s="72"/>
      <c r="M62" s="73"/>
      <c r="N62" s="77"/>
      <c r="O62" s="73"/>
      <c r="P62" s="73"/>
      <c r="Q62" s="35"/>
      <c r="R62" s="66"/>
      <c r="S62" s="89"/>
      <c r="T62" s="89"/>
      <c r="U62" s="84">
        <v>17500</v>
      </c>
      <c r="V62" s="84"/>
      <c r="W62" s="85">
        <v>30000</v>
      </c>
      <c r="X62" s="67"/>
      <c r="Y62" s="67"/>
      <c r="Z62" s="67"/>
      <c r="AA62" s="87">
        <f t="shared" si="3"/>
        <v>285</v>
      </c>
      <c r="AB62" s="88"/>
      <c r="AC62" s="4"/>
      <c r="AD62" s="73"/>
      <c r="AE62" s="67"/>
      <c r="AF62" s="67"/>
      <c r="AG62" s="67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</row>
    <row r="63" spans="3:46" s="70" customFormat="1" ht="20.100000000000001" hidden="1" customHeight="1" x14ac:dyDescent="0.25">
      <c r="C63" s="50"/>
      <c r="D63" s="78"/>
      <c r="E63" s="49"/>
      <c r="F63" s="79"/>
      <c r="G63" s="49"/>
      <c r="H63" s="6"/>
      <c r="I63" s="6"/>
      <c r="J63" s="73"/>
      <c r="K63" s="49"/>
      <c r="L63" s="49"/>
      <c r="M63" s="72"/>
      <c r="N63" s="49"/>
      <c r="O63" s="72"/>
      <c r="P63" s="73"/>
      <c r="Q63" s="35"/>
      <c r="R63" s="66"/>
      <c r="S63" s="89"/>
      <c r="T63" s="89"/>
      <c r="U63" s="84">
        <v>30000</v>
      </c>
      <c r="V63" s="84"/>
      <c r="W63" s="85">
        <v>45495</v>
      </c>
      <c r="X63" s="67"/>
      <c r="Y63" s="67"/>
      <c r="Z63" s="67"/>
      <c r="AA63" s="87">
        <f t="shared" si="3"/>
        <v>285</v>
      </c>
      <c r="AB63" s="88"/>
      <c r="AC63" s="4"/>
      <c r="AD63" s="73"/>
      <c r="AE63" s="67"/>
      <c r="AF63" s="67"/>
      <c r="AG63" s="67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</row>
    <row r="64" spans="3:46" s="70" customFormat="1" ht="20.100000000000001" hidden="1" customHeight="1" x14ac:dyDescent="0.25">
      <c r="C64" s="50"/>
      <c r="D64" s="78"/>
      <c r="E64" s="49"/>
      <c r="F64" s="77"/>
      <c r="G64" s="6"/>
      <c r="H64" s="73"/>
      <c r="I64" s="73"/>
      <c r="J64" s="73"/>
      <c r="K64" s="6"/>
      <c r="L64" s="6"/>
      <c r="M64" s="77"/>
      <c r="N64" s="6"/>
      <c r="O64" s="77"/>
      <c r="P64" s="73"/>
      <c r="Q64" s="35"/>
      <c r="R64" s="66"/>
      <c r="S64" s="89"/>
      <c r="T64" s="89"/>
      <c r="U64" s="84">
        <v>45495</v>
      </c>
      <c r="V64" s="84"/>
      <c r="W64" s="85">
        <v>64095</v>
      </c>
      <c r="X64" s="90">
        <v>4.5600000000000002E-2</v>
      </c>
      <c r="Y64" s="85" t="str">
        <f t="shared" ref="Y64:Y69" si="4">IF($S$11+$Y$23+$AA$11&gt;W60,"oui","non")</f>
        <v>oui</v>
      </c>
      <c r="Z64" s="85">
        <f>IF(Y64="oui",W60,S11+Y23+AA11)</f>
        <v>7500</v>
      </c>
      <c r="AA64" s="87">
        <f t="shared" si="3"/>
        <v>264.96449999999999</v>
      </c>
      <c r="AB64" s="88"/>
      <c r="AC64" s="4"/>
      <c r="AD64" s="73"/>
      <c r="AE64" s="67"/>
      <c r="AF64" s="67"/>
      <c r="AG64" s="67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3:45" s="70" customFormat="1" ht="20.100000000000001" hidden="1" customHeight="1" x14ac:dyDescent="0.25">
      <c r="C65" s="50"/>
      <c r="D65" s="81"/>
      <c r="E65" s="82"/>
      <c r="F65" s="77"/>
      <c r="G65" s="73"/>
      <c r="H65" s="73"/>
      <c r="I65" s="73"/>
      <c r="J65" s="73"/>
      <c r="K65" s="73"/>
      <c r="L65" s="73"/>
      <c r="M65" s="49"/>
      <c r="N65" s="73"/>
      <c r="O65" s="49"/>
      <c r="P65" s="73"/>
      <c r="Q65" s="35"/>
      <c r="R65" s="66"/>
      <c r="S65" s="89"/>
      <c r="T65" s="89"/>
      <c r="U65" s="84">
        <v>64095</v>
      </c>
      <c r="V65" s="84"/>
      <c r="W65" s="85">
        <v>250095</v>
      </c>
      <c r="X65" s="90">
        <v>2.8500000000000001E-2</v>
      </c>
      <c r="Y65" s="85" t="str">
        <f t="shared" si="4"/>
        <v>oui</v>
      </c>
      <c r="Z65" s="85">
        <f>IF(Y65="oui",W61-W60,Données!$S$11+$Y$23-Z64)</f>
        <v>10000</v>
      </c>
      <c r="AA65" s="87">
        <f t="shared" si="3"/>
        <v>212.04000000000002</v>
      </c>
      <c r="AB65" s="88"/>
      <c r="AC65" s="4"/>
      <c r="AD65" s="73"/>
      <c r="AE65" s="67"/>
      <c r="AF65" s="67"/>
      <c r="AG65" s="67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3:45" s="70" customFormat="1" ht="20.100000000000001" hidden="1" customHeight="1" x14ac:dyDescent="0.25">
      <c r="C66" s="10"/>
      <c r="D66" s="71"/>
      <c r="E66" s="82"/>
      <c r="F66" s="72"/>
      <c r="G66" s="73"/>
      <c r="H66" s="73"/>
      <c r="I66" s="73"/>
      <c r="J66" s="73"/>
      <c r="K66" s="73"/>
      <c r="L66" s="73"/>
      <c r="M66" s="6"/>
      <c r="N66" s="73"/>
      <c r="O66" s="6"/>
      <c r="P66" s="73"/>
      <c r="Q66" s="35"/>
      <c r="R66" s="66"/>
      <c r="S66" s="89"/>
      <c r="T66" s="89"/>
      <c r="U66" s="84">
        <v>250095</v>
      </c>
      <c r="V66" s="84"/>
      <c r="W66" s="85"/>
      <c r="X66" s="90">
        <v>2.2800000000000001E-2</v>
      </c>
      <c r="Y66" s="85" t="str">
        <f t="shared" si="4"/>
        <v>oui</v>
      </c>
      <c r="Z66" s="85">
        <f>IF(Y66="oui",W62-W61,Données!$S$11+$Y$23-Z65-Z64)</f>
        <v>12500</v>
      </c>
      <c r="AA66" s="87">
        <f t="shared" si="3"/>
        <v>603.6585</v>
      </c>
      <c r="AB66" s="88"/>
      <c r="AC66" s="4"/>
      <c r="AD66" s="73"/>
      <c r="AE66" s="67"/>
      <c r="AF66" s="67"/>
      <c r="AG66" s="67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3:45" s="70" customFormat="1" ht="20.100000000000001" hidden="1" customHeight="1" x14ac:dyDescent="0.25">
      <c r="C67" s="10"/>
      <c r="D67" s="71"/>
      <c r="E67" s="82"/>
      <c r="F67" s="72"/>
      <c r="G67" s="73"/>
      <c r="H67" s="73"/>
      <c r="I67" s="73"/>
      <c r="J67" s="72"/>
      <c r="K67" s="73"/>
      <c r="L67" s="73"/>
      <c r="M67" s="73"/>
      <c r="N67" s="73"/>
      <c r="O67" s="73"/>
      <c r="P67" s="73"/>
      <c r="Q67" s="35"/>
      <c r="R67" s="66"/>
      <c r="S67" s="89"/>
      <c r="T67" s="89"/>
      <c r="U67" s="93"/>
      <c r="V67" s="93"/>
      <c r="W67" s="93"/>
      <c r="X67" s="90">
        <v>1.7100000000000001E-2</v>
      </c>
      <c r="Y67" s="85" t="str">
        <f t="shared" si="4"/>
        <v>oui</v>
      </c>
      <c r="Z67" s="85">
        <f>IF(Y67="oui",W63-W62,Données!$S$11+$U$23-Z66-Z65-Z64)</f>
        <v>15495</v>
      </c>
      <c r="AA67" s="87">
        <f t="shared" si="3"/>
        <v>0</v>
      </c>
      <c r="AB67" s="88"/>
      <c r="AC67" s="4"/>
      <c r="AD67" s="67"/>
      <c r="AE67" s="67"/>
      <c r="AF67" s="67"/>
      <c r="AG67" s="67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3:45" s="70" customFormat="1" ht="20.100000000000001" hidden="1" customHeight="1" x14ac:dyDescent="0.25">
      <c r="C68" s="10"/>
      <c r="D68" s="71"/>
      <c r="E68" s="82"/>
      <c r="F68" s="72"/>
      <c r="G68" s="73"/>
      <c r="H68" s="73"/>
      <c r="I68" s="73"/>
      <c r="J68" s="49"/>
      <c r="K68" s="73"/>
      <c r="L68" s="73"/>
      <c r="M68" s="73"/>
      <c r="N68" s="73"/>
      <c r="O68" s="73"/>
      <c r="P68" s="73"/>
      <c r="Q68" s="35"/>
      <c r="R68" s="66"/>
      <c r="S68" s="94" t="s">
        <v>10</v>
      </c>
      <c r="T68" s="94"/>
      <c r="U68" s="84">
        <v>0</v>
      </c>
      <c r="V68" s="84"/>
      <c r="W68" s="85">
        <v>7500</v>
      </c>
      <c r="X68" s="90">
        <v>1.14E-2</v>
      </c>
      <c r="Y68" s="85" t="str">
        <f t="shared" si="4"/>
        <v>oui</v>
      </c>
      <c r="Z68" s="85">
        <f>IF(Y68="oui",W64-W63,Données!$S$11+$Y$23-Z67-Z66-Z65-Z64)</f>
        <v>18600</v>
      </c>
      <c r="AA68" s="89"/>
      <c r="AB68" s="88"/>
      <c r="AC68" s="4"/>
      <c r="AD68" s="67"/>
      <c r="AE68" s="67"/>
      <c r="AF68" s="67"/>
      <c r="AG68" s="67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3:45" s="70" customFormat="1" ht="20.100000000000001" hidden="1" customHeight="1" x14ac:dyDescent="0.2">
      <c r="C69" s="10"/>
      <c r="D69" s="71"/>
      <c r="E69" s="74"/>
      <c r="F69" s="72"/>
      <c r="G69" s="73"/>
      <c r="H69" s="73"/>
      <c r="I69" s="73"/>
      <c r="J69" s="6"/>
      <c r="K69" s="73"/>
      <c r="L69" s="73"/>
      <c r="M69" s="73"/>
      <c r="N69" s="73"/>
      <c r="O69" s="73"/>
      <c r="P69" s="73"/>
      <c r="Q69" s="35"/>
      <c r="R69" s="66"/>
      <c r="S69" s="95" t="s">
        <v>11</v>
      </c>
      <c r="T69" s="95"/>
      <c r="U69" s="84">
        <v>7500</v>
      </c>
      <c r="V69" s="84"/>
      <c r="W69" s="85">
        <v>17500</v>
      </c>
      <c r="X69" s="90">
        <v>5.7000000000000002E-3</v>
      </c>
      <c r="Y69" s="85" t="str">
        <f t="shared" si="4"/>
        <v>non</v>
      </c>
      <c r="Z69" s="85">
        <f>IF(Y69="oui",W65-W64,Données!$S$11+$Y$23-Z68-Z67-Z66-Z65-Z64)</f>
        <v>105905</v>
      </c>
      <c r="AA69" s="87">
        <f t="shared" ref="AA69:AA75" si="5">Z72*X72</f>
        <v>128.25</v>
      </c>
      <c r="AB69" s="88"/>
      <c r="AC69" s="4"/>
      <c r="AD69" s="71"/>
      <c r="AE69" s="91">
        <v>0</v>
      </c>
      <c r="AF69" s="67"/>
      <c r="AG69" s="67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3:45" s="70" customFormat="1" ht="20.100000000000001" hidden="1" customHeight="1" x14ac:dyDescent="0.2">
      <c r="C70" s="10"/>
      <c r="D70" s="71"/>
      <c r="E70" s="74"/>
      <c r="F70" s="72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35"/>
      <c r="R70" s="66"/>
      <c r="S70" s="95"/>
      <c r="T70" s="95"/>
      <c r="U70" s="84">
        <v>17500</v>
      </c>
      <c r="V70" s="84"/>
      <c r="W70" s="85">
        <v>30000</v>
      </c>
      <c r="X70" s="90">
        <v>5.6999999999999998E-4</v>
      </c>
      <c r="Y70" s="85" t="s">
        <v>1</v>
      </c>
      <c r="Z70" s="85">
        <f>IF(S11+Y23+AA11&gt;=U66,S11+Y23-AA11,0)</f>
        <v>0</v>
      </c>
      <c r="AA70" s="87">
        <f t="shared" si="5"/>
        <v>136.79999999999998</v>
      </c>
      <c r="AB70" s="88"/>
      <c r="AC70" s="4"/>
      <c r="AD70" s="6"/>
      <c r="AE70" s="91">
        <v>25000</v>
      </c>
      <c r="AF70" s="91">
        <v>391.1</v>
      </c>
      <c r="AG70" s="73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</row>
    <row r="71" spans="3:45" s="70" customFormat="1" ht="20.100000000000001" hidden="1" customHeight="1" x14ac:dyDescent="0.2">
      <c r="C71" s="10"/>
      <c r="D71" s="81"/>
      <c r="E71" s="74"/>
      <c r="F71" s="92"/>
      <c r="G71" s="73"/>
      <c r="H71" s="63"/>
      <c r="I71" s="63"/>
      <c r="J71" s="73"/>
      <c r="K71" s="73"/>
      <c r="L71" s="73"/>
      <c r="M71" s="73"/>
      <c r="N71" s="73"/>
      <c r="O71" s="73"/>
      <c r="P71" s="73"/>
      <c r="Q71" s="35"/>
      <c r="R71" s="66"/>
      <c r="S71" s="88"/>
      <c r="T71" s="88"/>
      <c r="U71" s="84">
        <v>30000</v>
      </c>
      <c r="V71" s="84"/>
      <c r="W71" s="85">
        <v>45495</v>
      </c>
      <c r="X71" s="89"/>
      <c r="Y71" s="89"/>
      <c r="Z71" s="89"/>
      <c r="AA71" s="87">
        <f t="shared" si="5"/>
        <v>114</v>
      </c>
      <c r="AB71" s="88"/>
      <c r="AC71" s="4"/>
      <c r="AD71" s="10"/>
      <c r="AE71" s="91">
        <v>30000</v>
      </c>
      <c r="AF71" s="91">
        <v>391.1</v>
      </c>
      <c r="AG71" s="6"/>
      <c r="AH71" s="6"/>
      <c r="AI71" s="6"/>
      <c r="AJ71" s="6"/>
      <c r="AM71" s="6"/>
      <c r="AN71" s="6"/>
      <c r="AO71" s="6"/>
      <c r="AP71" s="6"/>
      <c r="AQ71" s="6"/>
      <c r="AR71" s="6"/>
      <c r="AS71" s="6"/>
    </row>
    <row r="72" spans="3:45" s="70" customFormat="1" ht="20.100000000000001" hidden="1" customHeight="1" x14ac:dyDescent="0.2">
      <c r="D72" s="23"/>
      <c r="E72" s="92"/>
      <c r="F72" s="72"/>
      <c r="G72" s="63"/>
      <c r="H72" s="73"/>
      <c r="I72" s="73"/>
      <c r="J72" s="73"/>
      <c r="K72" s="63"/>
      <c r="L72" s="63"/>
      <c r="M72" s="73"/>
      <c r="N72" s="63"/>
      <c r="O72" s="73"/>
      <c r="P72" s="73"/>
      <c r="Q72" s="35"/>
      <c r="R72" s="66"/>
      <c r="S72" s="88"/>
      <c r="T72" s="88"/>
      <c r="U72" s="84">
        <v>45495</v>
      </c>
      <c r="V72" s="84"/>
      <c r="W72" s="85">
        <v>64095</v>
      </c>
      <c r="X72" s="90">
        <v>1.7100000000000001E-2</v>
      </c>
      <c r="Y72" s="85" t="str">
        <f t="shared" ref="Y72:Y77" si="6">IF($S$11+$Y$23+$AA$11&gt;W68,"oui","non")</f>
        <v>oui</v>
      </c>
      <c r="Z72" s="85">
        <f>IF(Y72="oui",W68,S11+Y23+AA11)</f>
        <v>7500</v>
      </c>
      <c r="AA72" s="87">
        <f t="shared" si="5"/>
        <v>105.9858</v>
      </c>
      <c r="AB72" s="88"/>
      <c r="AC72" s="4"/>
      <c r="AD72" s="6"/>
      <c r="AE72" s="91">
        <v>40000</v>
      </c>
      <c r="AF72" s="91">
        <v>423.98</v>
      </c>
      <c r="AG72" s="10"/>
      <c r="AH72" s="6"/>
      <c r="AI72" s="6"/>
      <c r="AJ72" s="6"/>
      <c r="AM72" s="6"/>
      <c r="AN72" s="6"/>
      <c r="AO72" s="6"/>
      <c r="AP72" s="6"/>
      <c r="AQ72" s="6"/>
      <c r="AR72" s="6"/>
      <c r="AS72" s="6"/>
    </row>
    <row r="73" spans="3:45" s="70" customFormat="1" ht="20.100000000000001" hidden="1" customHeight="1" x14ac:dyDescent="0.2">
      <c r="C73" s="80"/>
      <c r="D73" s="71"/>
      <c r="E73" s="82"/>
      <c r="F73" s="72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12"/>
      <c r="R73" s="66"/>
      <c r="S73" s="88"/>
      <c r="T73" s="88"/>
      <c r="U73" s="84">
        <v>64095</v>
      </c>
      <c r="V73" s="84"/>
      <c r="W73" s="85">
        <v>250095</v>
      </c>
      <c r="X73" s="90">
        <v>1.3679999999999999E-2</v>
      </c>
      <c r="Y73" s="85" t="str">
        <f t="shared" si="6"/>
        <v>oui</v>
      </c>
      <c r="Z73" s="85">
        <f>IF(Y73="oui",W69-W68,($S$11+$Y$23+$AA$11)-Z72)</f>
        <v>10000</v>
      </c>
      <c r="AA73" s="87">
        <f t="shared" si="5"/>
        <v>84.816000000000003</v>
      </c>
      <c r="AB73" s="88"/>
      <c r="AC73" s="4"/>
      <c r="AD73" s="67"/>
      <c r="AE73" s="91">
        <v>50000</v>
      </c>
      <c r="AF73" s="91">
        <v>431.08</v>
      </c>
      <c r="AG73" s="6"/>
      <c r="AH73" s="6"/>
      <c r="AI73" s="6"/>
      <c r="AJ73" s="6"/>
      <c r="AM73" s="6"/>
      <c r="AN73" s="6"/>
      <c r="AO73" s="6"/>
      <c r="AP73" s="6"/>
      <c r="AQ73" s="6"/>
      <c r="AR73" s="6"/>
      <c r="AS73" s="6"/>
    </row>
    <row r="74" spans="3:45" s="70" customFormat="1" ht="20.100000000000001" hidden="1" customHeight="1" x14ac:dyDescent="0.2">
      <c r="C74" s="10"/>
      <c r="D74" s="71"/>
      <c r="E74" s="82"/>
      <c r="F74" s="72"/>
      <c r="G74" s="73"/>
      <c r="H74" s="73"/>
      <c r="I74" s="73"/>
      <c r="J74" s="73"/>
      <c r="K74" s="73"/>
      <c r="L74" s="73"/>
      <c r="M74" s="63"/>
      <c r="N74" s="73"/>
      <c r="O74" s="63"/>
      <c r="P74" s="73"/>
      <c r="Q74" s="12"/>
      <c r="R74" s="66"/>
      <c r="S74" s="88"/>
      <c r="T74" s="88"/>
      <c r="U74" s="84">
        <v>250095</v>
      </c>
      <c r="V74" s="84"/>
      <c r="W74" s="85"/>
      <c r="X74" s="90">
        <v>9.1199999999999996E-3</v>
      </c>
      <c r="Y74" s="85" t="str">
        <f t="shared" si="6"/>
        <v>oui</v>
      </c>
      <c r="Z74" s="85">
        <f>IF(Y74="oui",W70-W69,($S$11+$Y$23+$AA$11)-Z73-Z72)</f>
        <v>12500</v>
      </c>
      <c r="AA74" s="87">
        <f t="shared" si="5"/>
        <v>241.46339999999998</v>
      </c>
      <c r="AB74" s="88"/>
      <c r="AC74" s="4"/>
      <c r="AD74" s="67"/>
      <c r="AE74" s="91">
        <v>60000</v>
      </c>
      <c r="AF74" s="91">
        <v>453.29</v>
      </c>
      <c r="AG74" s="67"/>
      <c r="AH74" s="6"/>
      <c r="AI74" s="6"/>
      <c r="AJ74" s="6"/>
      <c r="AM74" s="6"/>
      <c r="AN74" s="6"/>
      <c r="AO74" s="6"/>
      <c r="AP74" s="6"/>
      <c r="AQ74" s="6"/>
      <c r="AR74" s="6"/>
      <c r="AS74" s="6"/>
    </row>
    <row r="75" spans="3:45" s="70" customFormat="1" ht="20.100000000000001" hidden="1" customHeight="1" x14ac:dyDescent="0.2">
      <c r="C75" s="10"/>
      <c r="D75" s="71"/>
      <c r="E75" s="74"/>
      <c r="F75" s="72"/>
      <c r="G75" s="73"/>
      <c r="H75" s="73"/>
      <c r="I75" s="73"/>
      <c r="J75" s="73"/>
      <c r="K75" s="73"/>
      <c r="L75" s="73"/>
      <c r="M75" s="73"/>
      <c r="N75" s="73"/>
      <c r="O75" s="73"/>
      <c r="P75" s="63"/>
      <c r="Q75" s="35"/>
      <c r="R75" s="66"/>
      <c r="S75" s="88"/>
      <c r="T75" s="88"/>
      <c r="U75" s="96"/>
      <c r="V75" s="96"/>
      <c r="W75" s="96"/>
      <c r="X75" s="90">
        <v>6.8399999999999997E-3</v>
      </c>
      <c r="Y75" s="85" t="str">
        <f t="shared" si="6"/>
        <v>oui</v>
      </c>
      <c r="Z75" s="85">
        <f>IF(Y75="oui",W71-W70,($S$11+$Y$23+$AA$11)-Z74-Z73-Z72)</f>
        <v>15495</v>
      </c>
      <c r="AA75" s="87">
        <f t="shared" si="5"/>
        <v>0</v>
      </c>
      <c r="AB75" s="88"/>
      <c r="AC75" s="4"/>
      <c r="AD75" s="67"/>
      <c r="AE75" s="91">
        <v>70000</v>
      </c>
      <c r="AF75" s="91">
        <v>464.69</v>
      </c>
      <c r="AG75" s="67"/>
      <c r="AH75" s="6"/>
      <c r="AI75" s="6"/>
      <c r="AJ75" s="6"/>
      <c r="AM75" s="6"/>
      <c r="AN75" s="6"/>
      <c r="AO75" s="6"/>
      <c r="AP75" s="6"/>
      <c r="AQ75" s="6"/>
      <c r="AR75" s="6"/>
      <c r="AS75" s="6"/>
    </row>
    <row r="76" spans="3:45" s="70" customFormat="1" ht="20.100000000000001" hidden="1" customHeight="1" x14ac:dyDescent="0.2">
      <c r="C76" s="10"/>
      <c r="D76" s="71"/>
      <c r="E76" s="74"/>
      <c r="F76" s="72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35"/>
      <c r="R76" s="66"/>
      <c r="S76" s="94" t="s">
        <v>10</v>
      </c>
      <c r="T76" s="94"/>
      <c r="U76" s="84">
        <v>0</v>
      </c>
      <c r="V76" s="84"/>
      <c r="W76" s="85">
        <v>7500</v>
      </c>
      <c r="X76" s="90">
        <v>4.5599999999999998E-3</v>
      </c>
      <c r="Y76" s="85" t="str">
        <f t="shared" si="6"/>
        <v>oui</v>
      </c>
      <c r="Z76" s="85">
        <f>IF(Y76="oui",W72-W71,($S$11+$Y$23+$AA$11)-Z75-Z74-Z73-Z72)</f>
        <v>18600</v>
      </c>
      <c r="AA76" s="96"/>
      <c r="AB76" s="88"/>
      <c r="AC76" s="4"/>
      <c r="AD76" s="67"/>
      <c r="AE76" s="91">
        <v>80000</v>
      </c>
      <c r="AF76" s="91">
        <v>472.58</v>
      </c>
      <c r="AG76" s="67"/>
      <c r="AH76" s="6"/>
      <c r="AI76" s="6"/>
      <c r="AJ76" s="6"/>
      <c r="AM76" s="6"/>
      <c r="AN76" s="6"/>
      <c r="AO76" s="6"/>
      <c r="AP76" s="6"/>
      <c r="AQ76" s="6"/>
      <c r="AR76" s="6"/>
      <c r="AS76" s="6"/>
    </row>
    <row r="77" spans="3:45" s="70" customFormat="1" ht="20.100000000000001" hidden="1" customHeight="1" x14ac:dyDescent="0.2">
      <c r="C77" s="10"/>
      <c r="D77" s="71"/>
      <c r="E77" s="74"/>
      <c r="F77" s="72"/>
      <c r="G77" s="73"/>
      <c r="H77" s="73"/>
      <c r="I77" s="73"/>
      <c r="J77" s="63"/>
      <c r="K77" s="73"/>
      <c r="L77" s="73"/>
      <c r="M77" s="73"/>
      <c r="N77" s="73"/>
      <c r="O77" s="73"/>
      <c r="P77" s="73"/>
      <c r="Q77" s="35"/>
      <c r="R77" s="66"/>
      <c r="S77" s="95" t="s">
        <v>17</v>
      </c>
      <c r="T77" s="95"/>
      <c r="U77" s="84">
        <v>7500</v>
      </c>
      <c r="V77" s="84"/>
      <c r="W77" s="85">
        <v>17500</v>
      </c>
      <c r="X77" s="90">
        <v>2.2799999999999999E-3</v>
      </c>
      <c r="Y77" s="85" t="str">
        <f t="shared" si="6"/>
        <v>non</v>
      </c>
      <c r="Z77" s="85">
        <f>IF(Y77="oui",W73-W72,($S$11+$Y$23+$AA$11)-Z76-Z75-Z74-Z73-Z72)</f>
        <v>105905</v>
      </c>
      <c r="AA77" s="87">
        <f t="shared" ref="AA77:AA83" si="7">Z80*X80</f>
        <v>0</v>
      </c>
      <c r="AB77" s="97"/>
      <c r="AC77" s="4"/>
      <c r="AD77" s="67"/>
      <c r="AE77" s="91">
        <v>90000</v>
      </c>
      <c r="AF77" s="91">
        <v>496.1</v>
      </c>
      <c r="AG77" s="67"/>
      <c r="AH77" s="6"/>
      <c r="AI77" s="6"/>
      <c r="AJ77" s="6"/>
      <c r="AM77" s="6"/>
      <c r="AN77" s="6"/>
      <c r="AO77" s="6"/>
      <c r="AP77" s="6"/>
      <c r="AQ77" s="6"/>
      <c r="AR77" s="6"/>
      <c r="AS77" s="6"/>
    </row>
    <row r="78" spans="3:45" s="70" customFormat="1" ht="20.100000000000001" hidden="1" customHeight="1" x14ac:dyDescent="0.2">
      <c r="C78" s="10"/>
      <c r="D78" s="71"/>
      <c r="E78" s="74"/>
      <c r="F78" s="6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35"/>
      <c r="R78" s="66"/>
      <c r="S78" s="95"/>
      <c r="T78" s="95"/>
      <c r="U78" s="84">
        <v>17500</v>
      </c>
      <c r="V78" s="84"/>
      <c r="W78" s="85">
        <v>30000</v>
      </c>
      <c r="X78" s="98">
        <v>4.5600000000000003E-4</v>
      </c>
      <c r="Y78" s="85" t="s">
        <v>1</v>
      </c>
      <c r="Z78" s="85">
        <f>IF((S11+Y23+AA11)&gt;=U74,(S11+Y23+AA11)-W73,0)</f>
        <v>0</v>
      </c>
      <c r="AA78" s="87">
        <f t="shared" si="7"/>
        <v>0</v>
      </c>
      <c r="AB78" s="97"/>
      <c r="AC78" s="4"/>
      <c r="AD78" s="67"/>
      <c r="AE78" s="91">
        <v>100000</v>
      </c>
      <c r="AF78" s="91">
        <v>501.8</v>
      </c>
      <c r="AG78" s="67"/>
      <c r="AH78" s="6"/>
      <c r="AI78" s="6"/>
      <c r="AJ78" s="6"/>
      <c r="AM78" s="6"/>
      <c r="AN78" s="6"/>
      <c r="AO78" s="6"/>
      <c r="AP78" s="6"/>
      <c r="AQ78" s="6"/>
      <c r="AR78" s="6"/>
      <c r="AS78" s="6"/>
    </row>
    <row r="79" spans="3:45" s="70" customFormat="1" ht="20.100000000000001" hidden="1" customHeight="1" x14ac:dyDescent="0.2">
      <c r="C79" s="10"/>
      <c r="D79" s="71"/>
      <c r="E79" s="74"/>
      <c r="F79" s="63"/>
      <c r="G79" s="73"/>
      <c r="H79" s="63"/>
      <c r="I79" s="63"/>
      <c r="J79" s="73"/>
      <c r="K79" s="73"/>
      <c r="L79" s="73"/>
      <c r="M79" s="73"/>
      <c r="N79" s="73"/>
      <c r="O79" s="73"/>
      <c r="P79" s="73"/>
      <c r="Q79" s="35"/>
      <c r="R79" s="66"/>
      <c r="S79" s="88"/>
      <c r="T79" s="88"/>
      <c r="U79" s="84">
        <v>30000</v>
      </c>
      <c r="V79" s="84"/>
      <c r="W79" s="85">
        <v>45495</v>
      </c>
      <c r="X79" s="96"/>
      <c r="Y79" s="96"/>
      <c r="Z79" s="96"/>
      <c r="AA79" s="87">
        <f t="shared" si="7"/>
        <v>0</v>
      </c>
      <c r="AB79" s="97"/>
      <c r="AC79" s="4"/>
      <c r="AD79" s="67"/>
      <c r="AE79" s="91">
        <v>125000</v>
      </c>
      <c r="AF79" s="91">
        <v>525.33000000000004</v>
      </c>
      <c r="AG79" s="67"/>
      <c r="AH79" s="6"/>
      <c r="AI79" s="6"/>
      <c r="AJ79" s="6"/>
      <c r="AM79" s="6"/>
      <c r="AN79" s="6"/>
      <c r="AO79" s="6"/>
      <c r="AP79" s="6"/>
      <c r="AQ79" s="6"/>
      <c r="AR79" s="6"/>
      <c r="AS79" s="6"/>
    </row>
    <row r="80" spans="3:45" s="70" customFormat="1" ht="20.100000000000001" hidden="1" customHeight="1" x14ac:dyDescent="0.2">
      <c r="D80" s="23"/>
      <c r="E80" s="63"/>
      <c r="F80" s="63"/>
      <c r="G80" s="63"/>
      <c r="H80" s="73"/>
      <c r="I80" s="73"/>
      <c r="J80" s="73"/>
      <c r="K80" s="63"/>
      <c r="L80" s="63"/>
      <c r="M80" s="73"/>
      <c r="N80" s="63"/>
      <c r="O80" s="73"/>
      <c r="P80" s="73"/>
      <c r="Q80" s="35"/>
      <c r="R80" s="66"/>
      <c r="S80" s="88"/>
      <c r="T80" s="88"/>
      <c r="U80" s="84">
        <v>45495</v>
      </c>
      <c r="V80" s="84"/>
      <c r="W80" s="85">
        <v>64095</v>
      </c>
      <c r="X80" s="99">
        <v>3.9899999999999996E-3</v>
      </c>
      <c r="Y80" s="85" t="str">
        <f>IF(AA6&gt;W76,"oui","non")</f>
        <v>non</v>
      </c>
      <c r="Z80" s="85">
        <f>IF(Y80="oui",W76,AA6)</f>
        <v>0</v>
      </c>
      <c r="AA80" s="87">
        <f t="shared" si="7"/>
        <v>0</v>
      </c>
      <c r="AB80" s="97"/>
      <c r="AC80" s="4"/>
      <c r="AD80" s="6"/>
      <c r="AE80" s="91">
        <v>150000</v>
      </c>
      <c r="AF80" s="91">
        <v>557.97</v>
      </c>
      <c r="AG80" s="67"/>
      <c r="AH80" s="6"/>
      <c r="AI80" s="6"/>
      <c r="AJ80" s="6"/>
      <c r="AM80" s="6"/>
      <c r="AN80" s="6"/>
      <c r="AO80" s="6"/>
      <c r="AP80" s="6"/>
      <c r="AQ80" s="6"/>
      <c r="AR80" s="6"/>
      <c r="AS80" s="6"/>
    </row>
    <row r="81" spans="3:45" s="70" customFormat="1" ht="20.100000000000001" hidden="1" customHeight="1" x14ac:dyDescent="0.2">
      <c r="C81" s="80"/>
      <c r="D81" s="71"/>
      <c r="E81" s="74"/>
      <c r="F81" s="22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35"/>
      <c r="R81" s="66"/>
      <c r="S81" s="88"/>
      <c r="T81" s="88"/>
      <c r="U81" s="84">
        <v>64095</v>
      </c>
      <c r="V81" s="84"/>
      <c r="W81" s="85">
        <v>250095</v>
      </c>
      <c r="X81" s="99">
        <v>3.4199999999999999E-3</v>
      </c>
      <c r="Y81" s="85" t="str">
        <f>IF(AA6&gt;W77,"oui","non")</f>
        <v>non</v>
      </c>
      <c r="Z81" s="85">
        <f>IF(Y81="oui",W77-W76,(AA6)-Z80)</f>
        <v>0</v>
      </c>
      <c r="AA81" s="87">
        <f t="shared" si="7"/>
        <v>0</v>
      </c>
      <c r="AB81" s="97"/>
      <c r="AC81" s="4"/>
      <c r="AD81" s="67"/>
      <c r="AE81" s="91">
        <v>175000</v>
      </c>
      <c r="AF81" s="91">
        <v>589.47</v>
      </c>
      <c r="AG81" s="6"/>
      <c r="AH81" s="6"/>
      <c r="AI81" s="6"/>
      <c r="AJ81" s="6"/>
      <c r="AM81" s="6"/>
      <c r="AN81" s="6"/>
      <c r="AO81" s="6"/>
      <c r="AP81" s="6"/>
      <c r="AQ81" s="6"/>
      <c r="AR81" s="6"/>
      <c r="AS81" s="6"/>
    </row>
    <row r="82" spans="3:45" s="19" customFormat="1" ht="20.100000000000001" hidden="1" customHeight="1" x14ac:dyDescent="0.2">
      <c r="C82" s="10"/>
      <c r="D82" s="71"/>
      <c r="E82" s="74"/>
      <c r="F82" s="68"/>
      <c r="G82" s="73"/>
      <c r="H82" s="73"/>
      <c r="I82" s="73"/>
      <c r="J82" s="73"/>
      <c r="K82" s="73"/>
      <c r="L82" s="73"/>
      <c r="M82" s="63"/>
      <c r="N82" s="73"/>
      <c r="O82" s="63"/>
      <c r="P82" s="63"/>
      <c r="Q82" s="35"/>
      <c r="R82" s="66"/>
      <c r="S82" s="88"/>
      <c r="T82" s="88"/>
      <c r="U82" s="84">
        <v>250095</v>
      </c>
      <c r="V82" s="84"/>
      <c r="W82" s="85"/>
      <c r="X82" s="99">
        <v>2.2799999999999999E-3</v>
      </c>
      <c r="Y82" s="85" t="str">
        <f>IF(AA6&gt;W78,"oui","non")</f>
        <v>non</v>
      </c>
      <c r="Z82" s="85">
        <f>IF(Y82="oui",W78-W77,(AA6)-Z81-Z80)</f>
        <v>0</v>
      </c>
      <c r="AA82" s="87">
        <f t="shared" si="7"/>
        <v>0</v>
      </c>
      <c r="AB82" s="97"/>
      <c r="AC82" s="4"/>
      <c r="AD82" s="67"/>
      <c r="AE82" s="91">
        <v>200000</v>
      </c>
      <c r="AF82" s="91">
        <v>623.26</v>
      </c>
      <c r="AG82" s="67"/>
      <c r="AH82" s="6"/>
      <c r="AI82" s="6"/>
      <c r="AJ82" s="70"/>
      <c r="AM82" s="70"/>
      <c r="AN82" s="70"/>
      <c r="AO82" s="70"/>
      <c r="AP82" s="70"/>
      <c r="AQ82" s="70"/>
      <c r="AR82" s="70"/>
      <c r="AS82" s="70"/>
    </row>
    <row r="83" spans="3:45" s="19" customFormat="1" ht="20.100000000000001" hidden="1" customHeight="1" x14ac:dyDescent="0.2">
      <c r="C83" s="10"/>
      <c r="D83" s="71"/>
      <c r="E83" s="74"/>
      <c r="F83" s="72"/>
      <c r="G83" s="73"/>
      <c r="H83" s="73"/>
      <c r="I83" s="73"/>
      <c r="J83" s="73"/>
      <c r="K83" s="73"/>
      <c r="L83" s="73"/>
      <c r="M83" s="73"/>
      <c r="N83" s="73"/>
      <c r="O83" s="73"/>
      <c r="P83" s="92"/>
      <c r="Q83" s="80"/>
      <c r="R83" s="53"/>
      <c r="S83" s="67"/>
      <c r="T83" s="67"/>
      <c r="U83" s="67"/>
      <c r="V83" s="67"/>
      <c r="W83" s="67"/>
      <c r="X83" s="99">
        <v>1.7099999999999999E-3</v>
      </c>
      <c r="Y83" s="85" t="str">
        <f>IF(AA6&gt;W79,"oui","non")</f>
        <v>non</v>
      </c>
      <c r="Z83" s="85">
        <f>IF(Y83="oui",W79-W78,(AA6)-Z82-Z81-Z80)</f>
        <v>0</v>
      </c>
      <c r="AA83" s="87">
        <f t="shared" si="7"/>
        <v>0</v>
      </c>
      <c r="AB83" s="97"/>
      <c r="AC83" s="4"/>
      <c r="AD83" s="67"/>
      <c r="AE83" s="91">
        <v>250000</v>
      </c>
      <c r="AF83" s="91">
        <v>654.66999999999996</v>
      </c>
      <c r="AG83" s="67"/>
      <c r="AH83" s="6"/>
      <c r="AI83" s="6"/>
      <c r="AJ83" s="70"/>
      <c r="AM83" s="70"/>
      <c r="AN83" s="70"/>
      <c r="AO83" s="70"/>
      <c r="AP83" s="70"/>
      <c r="AQ83" s="70"/>
      <c r="AR83" s="70"/>
      <c r="AS83" s="70"/>
    </row>
    <row r="84" spans="3:45" s="19" customFormat="1" ht="20.100000000000001" hidden="1" customHeight="1" x14ac:dyDescent="0.2">
      <c r="C84" s="10"/>
      <c r="D84" s="71"/>
      <c r="E84" s="74"/>
      <c r="F84" s="72"/>
      <c r="G84" s="73"/>
      <c r="H84" s="73"/>
      <c r="I84" s="73"/>
      <c r="J84" s="73"/>
      <c r="K84" s="73"/>
      <c r="L84" s="73"/>
      <c r="M84" s="73"/>
      <c r="N84" s="73"/>
      <c r="O84" s="73"/>
      <c r="P84" s="92"/>
      <c r="Q84" s="80"/>
      <c r="R84" s="53"/>
      <c r="S84" s="67"/>
      <c r="T84" s="67"/>
      <c r="U84" s="67"/>
      <c r="V84" s="67"/>
      <c r="W84" s="67"/>
      <c r="X84" s="99">
        <v>1.14E-3</v>
      </c>
      <c r="Y84" s="85" t="str">
        <f>IF(AA6&gt;W80,"oui","non")</f>
        <v>non</v>
      </c>
      <c r="Z84" s="85">
        <f>IF(Y84="oui",W80-W79,(AA6)-Z83-Z82-Z81-Z80)</f>
        <v>0</v>
      </c>
      <c r="AA84" s="67"/>
      <c r="AB84" s="67"/>
      <c r="AC84" s="67"/>
      <c r="AD84" s="67"/>
      <c r="AE84" s="91">
        <v>500000</v>
      </c>
      <c r="AF84" s="91">
        <v>697.66</v>
      </c>
      <c r="AG84" s="67"/>
      <c r="AH84" s="6"/>
      <c r="AI84" s="6"/>
      <c r="AJ84" s="70"/>
      <c r="AM84" s="70"/>
      <c r="AN84" s="70"/>
      <c r="AO84" s="70"/>
      <c r="AP84" s="70"/>
      <c r="AQ84" s="70"/>
      <c r="AR84" s="70"/>
      <c r="AS84" s="70"/>
    </row>
    <row r="85" spans="3:45" s="19" customFormat="1" ht="20.100000000000001" hidden="1" customHeight="1" x14ac:dyDescent="0.2">
      <c r="C85" s="10"/>
      <c r="D85" s="71"/>
      <c r="E85" s="74"/>
      <c r="F85" s="72"/>
      <c r="G85" s="73"/>
      <c r="H85" s="73"/>
      <c r="I85" s="73"/>
      <c r="J85" s="63"/>
      <c r="K85" s="73"/>
      <c r="L85" s="73"/>
      <c r="M85" s="73"/>
      <c r="N85" s="73"/>
      <c r="O85" s="73"/>
      <c r="P85" s="92"/>
      <c r="Q85" s="80"/>
      <c r="R85" s="53"/>
      <c r="S85" s="67"/>
      <c r="T85" s="67"/>
      <c r="U85" s="67"/>
      <c r="V85" s="67"/>
      <c r="W85" s="67"/>
      <c r="X85" s="99">
        <v>5.6999999999999998E-4</v>
      </c>
      <c r="Y85" s="85" t="str">
        <f>IF(AA6&gt;W81,"oui","non")</f>
        <v>non</v>
      </c>
      <c r="Z85" s="85">
        <f>IF(Y85="oui",W81-W80,(AA6)-Z84-Z83-Z82-Z81-Z80)</f>
        <v>0</v>
      </c>
      <c r="AA85" s="67"/>
      <c r="AB85" s="67"/>
      <c r="AC85" s="67"/>
      <c r="AD85" s="67"/>
      <c r="AE85" s="91">
        <v>1000000000</v>
      </c>
      <c r="AF85" s="91">
        <v>952.92</v>
      </c>
      <c r="AG85" s="67"/>
      <c r="AH85" s="6"/>
      <c r="AI85" s="6"/>
      <c r="AJ85" s="70"/>
      <c r="AM85" s="70"/>
      <c r="AN85" s="70"/>
      <c r="AO85" s="70"/>
      <c r="AP85" s="70"/>
      <c r="AQ85" s="70"/>
      <c r="AR85" s="70"/>
      <c r="AS85" s="70"/>
    </row>
    <row r="86" spans="3:45" s="19" customFormat="1" ht="20.100000000000001" hidden="1" customHeight="1" x14ac:dyDescent="0.2">
      <c r="C86" s="10"/>
      <c r="D86" s="71"/>
      <c r="E86" s="74"/>
      <c r="F86" s="72"/>
      <c r="G86" s="73"/>
      <c r="H86" s="63"/>
      <c r="I86" s="63"/>
      <c r="J86" s="73"/>
      <c r="K86" s="73"/>
      <c r="L86" s="73"/>
      <c r="M86" s="73"/>
      <c r="N86" s="73"/>
      <c r="O86" s="73"/>
      <c r="P86" s="92"/>
      <c r="Q86" s="80"/>
      <c r="R86" s="21"/>
      <c r="S86" s="24"/>
      <c r="T86" s="24"/>
      <c r="U86" s="24"/>
      <c r="V86" s="24"/>
      <c r="W86" s="24"/>
      <c r="X86" s="99">
        <v>2.3000000000000001E-4</v>
      </c>
      <c r="Y86" s="85" t="s">
        <v>1</v>
      </c>
      <c r="Z86" s="85">
        <f>IF((I36+U23+AA11)&gt;=U82,(AA11)-W81,0)</f>
        <v>0</v>
      </c>
      <c r="AA86" s="67"/>
      <c r="AB86" s="67"/>
      <c r="AC86" s="67"/>
      <c r="AD86" s="67"/>
      <c r="AE86" s="67"/>
      <c r="AF86" s="91">
        <v>952.92</v>
      </c>
      <c r="AG86" s="67"/>
      <c r="AH86" s="6"/>
      <c r="AI86" s="6"/>
      <c r="AJ86" s="70"/>
      <c r="AM86" s="70"/>
      <c r="AN86" s="70"/>
      <c r="AO86" s="70"/>
      <c r="AP86" s="70"/>
      <c r="AQ86" s="70"/>
      <c r="AR86" s="70"/>
      <c r="AS86" s="70"/>
    </row>
    <row r="87" spans="3:45" s="19" customFormat="1" ht="20.100000000000001" hidden="1" customHeight="1" x14ac:dyDescent="0.25">
      <c r="C87" s="23"/>
      <c r="D87" s="23"/>
      <c r="E87" s="63"/>
      <c r="F87" s="72"/>
      <c r="G87" s="63"/>
      <c r="H87" s="92"/>
      <c r="I87" s="92"/>
      <c r="J87" s="73"/>
      <c r="K87" s="63"/>
      <c r="L87" s="63"/>
      <c r="M87" s="73"/>
      <c r="N87" s="63"/>
      <c r="O87" s="73"/>
      <c r="P87" s="21"/>
      <c r="Q87" s="80"/>
      <c r="R87" s="21"/>
      <c r="S87" s="24"/>
      <c r="T87" s="24"/>
      <c r="U87" s="24"/>
      <c r="V87" s="24"/>
      <c r="W87" s="24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"/>
      <c r="AI87" s="6"/>
      <c r="AJ87" s="70"/>
      <c r="AM87" s="70"/>
      <c r="AN87" s="70"/>
      <c r="AO87" s="70"/>
      <c r="AP87" s="70"/>
      <c r="AQ87" s="70"/>
      <c r="AR87" s="70"/>
      <c r="AS87" s="70"/>
    </row>
    <row r="88" spans="3:45" s="19" customFormat="1" ht="20.100000000000001" hidden="1" customHeight="1" x14ac:dyDescent="0.25">
      <c r="C88" s="23"/>
      <c r="D88" s="23"/>
      <c r="E88" s="63"/>
      <c r="G88" s="63"/>
      <c r="H88" s="92"/>
      <c r="I88" s="92"/>
      <c r="J88" s="73"/>
      <c r="K88" s="92"/>
      <c r="L88" s="92"/>
      <c r="M88" s="73"/>
      <c r="N88" s="92"/>
      <c r="O88" s="73"/>
      <c r="Q88" s="21"/>
      <c r="R88" s="21"/>
      <c r="S88" s="21"/>
      <c r="T88" s="49"/>
      <c r="U88" s="100"/>
      <c r="V88" s="21"/>
      <c r="W88" s="21"/>
      <c r="X88" s="67"/>
      <c r="Y88" s="67"/>
      <c r="Z88" s="67"/>
      <c r="AA88" s="24"/>
      <c r="AB88" s="24"/>
      <c r="AC88" s="24"/>
      <c r="AD88" s="6"/>
      <c r="AE88" s="6"/>
      <c r="AF88" s="67"/>
      <c r="AG88" s="67"/>
      <c r="AH88" s="6"/>
      <c r="AI88" s="6"/>
      <c r="AJ88" s="70"/>
      <c r="AK88" s="70"/>
      <c r="AL88" s="70"/>
      <c r="AM88" s="70"/>
      <c r="AN88" s="70"/>
      <c r="AO88" s="70"/>
      <c r="AP88" s="70"/>
      <c r="AQ88" s="70"/>
      <c r="AR88" s="70"/>
      <c r="AS88" s="70"/>
    </row>
    <row r="89" spans="3:45" s="19" customFormat="1" ht="20.100000000000001" hidden="1" customHeight="1" x14ac:dyDescent="0.25">
      <c r="C89" s="71"/>
      <c r="D89" s="71"/>
      <c r="E89" s="21"/>
      <c r="G89" s="21"/>
      <c r="H89" s="68"/>
      <c r="I89" s="68"/>
      <c r="J89" s="73"/>
      <c r="K89" s="92"/>
      <c r="L89" s="92"/>
      <c r="M89" s="63"/>
      <c r="N89" s="68"/>
      <c r="O89" s="63"/>
      <c r="Q89" s="21"/>
      <c r="R89" s="21"/>
      <c r="S89" s="21"/>
      <c r="T89" s="49"/>
      <c r="U89" s="100"/>
      <c r="V89" s="21"/>
      <c r="W89" s="21"/>
      <c r="X89" s="67"/>
      <c r="Y89" s="67"/>
      <c r="Z89" s="67"/>
      <c r="AA89" s="24"/>
      <c r="AB89" s="24"/>
      <c r="AC89" s="24"/>
      <c r="AD89" s="67"/>
      <c r="AE89" s="67"/>
      <c r="AF89" s="6"/>
      <c r="AG89" s="6"/>
      <c r="AH89" s="6"/>
      <c r="AI89" s="6"/>
      <c r="AJ89" s="70"/>
      <c r="AK89" s="70"/>
      <c r="AL89" s="70"/>
      <c r="AM89" s="70"/>
      <c r="AN89" s="70"/>
      <c r="AO89" s="70"/>
      <c r="AP89" s="70"/>
      <c r="AQ89" s="70"/>
      <c r="AR89" s="70"/>
      <c r="AS89" s="70"/>
    </row>
    <row r="90" spans="3:45" s="19" customFormat="1" ht="20.100000000000001" hidden="1" customHeight="1" x14ac:dyDescent="0.25">
      <c r="C90" s="71"/>
      <c r="D90" s="71"/>
      <c r="E90" s="21"/>
      <c r="G90" s="21"/>
      <c r="H90" s="68"/>
      <c r="I90" s="68"/>
      <c r="J90" s="73"/>
      <c r="K90" s="92"/>
      <c r="L90" s="92"/>
      <c r="M90" s="92"/>
      <c r="N90" s="68"/>
      <c r="O90" s="92"/>
      <c r="Q90" s="21"/>
      <c r="R90" s="21"/>
      <c r="S90" s="21"/>
      <c r="T90" s="49"/>
      <c r="U90" s="100"/>
      <c r="V90" s="21"/>
      <c r="W90" s="21"/>
      <c r="X90" s="24"/>
      <c r="Y90" s="24"/>
      <c r="Z90" s="24"/>
      <c r="AA90" s="24"/>
      <c r="AB90" s="24"/>
      <c r="AC90" s="24"/>
      <c r="AD90" s="67"/>
      <c r="AE90" s="67"/>
      <c r="AF90" s="67"/>
      <c r="AG90" s="67"/>
      <c r="AH90" s="6"/>
      <c r="AI90" s="6"/>
      <c r="AJ90" s="70"/>
      <c r="AK90" s="70"/>
      <c r="AL90" s="70"/>
      <c r="AM90" s="70"/>
      <c r="AN90" s="70"/>
      <c r="AO90" s="70"/>
      <c r="AP90" s="70"/>
      <c r="AQ90" s="70"/>
      <c r="AR90" s="70"/>
      <c r="AS90" s="70"/>
    </row>
    <row r="91" spans="3:45" s="19" customFormat="1" ht="20.100000000000001" hidden="1" customHeight="1" x14ac:dyDescent="0.25">
      <c r="C91" s="71"/>
      <c r="D91" s="71"/>
      <c r="E91" s="21"/>
      <c r="G91" s="21"/>
      <c r="H91" s="68"/>
      <c r="I91" s="68"/>
      <c r="J91" s="73"/>
      <c r="K91" s="68"/>
      <c r="L91" s="68"/>
      <c r="M91" s="68"/>
      <c r="N91" s="68"/>
      <c r="O91" s="68"/>
      <c r="Q91" s="21"/>
      <c r="R91" s="21"/>
      <c r="S91" s="21"/>
      <c r="T91" s="49"/>
      <c r="U91" s="100"/>
      <c r="V91" s="21"/>
      <c r="W91" s="21"/>
      <c r="X91" s="24"/>
      <c r="Y91" s="24"/>
      <c r="Z91" s="24"/>
      <c r="AA91" s="21"/>
      <c r="AD91" s="67"/>
      <c r="AE91" s="67"/>
      <c r="AF91" s="67"/>
      <c r="AG91" s="67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</row>
    <row r="92" spans="3:45" s="19" customFormat="1" ht="20.100000000000001" hidden="1" customHeight="1" x14ac:dyDescent="0.25">
      <c r="C92" s="71"/>
      <c r="D92" s="71"/>
      <c r="E92" s="21"/>
      <c r="G92" s="21"/>
      <c r="H92" s="68"/>
      <c r="I92" s="68"/>
      <c r="J92" s="63"/>
      <c r="K92" s="68"/>
      <c r="L92" s="68"/>
      <c r="M92" s="68"/>
      <c r="N92" s="68"/>
      <c r="O92" s="68"/>
      <c r="Q92" s="21"/>
      <c r="R92" s="21"/>
      <c r="S92" s="21"/>
      <c r="T92" s="49"/>
      <c r="U92" s="100"/>
      <c r="V92" s="21"/>
      <c r="W92" s="21"/>
      <c r="X92" s="68"/>
      <c r="Y92" s="21"/>
      <c r="Z92" s="21"/>
      <c r="AA92" s="21"/>
      <c r="AD92" s="67"/>
      <c r="AE92" s="67"/>
      <c r="AF92" s="67"/>
      <c r="AG92" s="67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</row>
    <row r="93" spans="3:45" s="19" customFormat="1" ht="20.100000000000001" hidden="1" customHeight="1" x14ac:dyDescent="0.25">
      <c r="C93" s="71"/>
      <c r="D93" s="71"/>
      <c r="E93" s="21"/>
      <c r="G93" s="21"/>
      <c r="H93" s="21"/>
      <c r="I93" s="21"/>
      <c r="J93" s="92"/>
      <c r="K93" s="68"/>
      <c r="L93" s="68"/>
      <c r="M93" s="68"/>
      <c r="N93" s="68"/>
      <c r="O93" s="68"/>
      <c r="Q93" s="21"/>
      <c r="R93" s="21"/>
      <c r="S93" s="21"/>
      <c r="T93" s="49"/>
      <c r="U93" s="100"/>
      <c r="V93" s="21"/>
      <c r="W93" s="21"/>
      <c r="X93" s="68"/>
      <c r="Y93" s="21"/>
      <c r="Z93" s="21"/>
      <c r="AA93" s="21"/>
      <c r="AD93" s="67"/>
      <c r="AE93" s="67"/>
      <c r="AF93" s="67"/>
      <c r="AG93" s="67"/>
      <c r="AH93" s="70"/>
      <c r="AI93" s="70"/>
      <c r="AJ93" s="70"/>
      <c r="AK93" s="70"/>
      <c r="AL93" s="70"/>
      <c r="AM93" s="70"/>
      <c r="AN93" s="70"/>
      <c r="AO93" s="70"/>
      <c r="AP93" s="70"/>
      <c r="AQ93" s="70"/>
      <c r="AR93" s="70"/>
      <c r="AS93" s="70"/>
    </row>
    <row r="94" spans="3:45" s="19" customFormat="1" ht="18" hidden="1" customHeight="1" x14ac:dyDescent="0.25">
      <c r="J94" s="92"/>
      <c r="K94" s="21"/>
      <c r="L94" s="21"/>
      <c r="M94" s="68"/>
      <c r="N94" s="21"/>
      <c r="O94" s="68"/>
      <c r="Q94" s="21"/>
      <c r="R94" s="21"/>
      <c r="S94" s="21"/>
      <c r="T94" s="49"/>
      <c r="U94" s="100"/>
      <c r="V94" s="21"/>
      <c r="W94" s="21"/>
      <c r="X94" s="68"/>
      <c r="Y94" s="21"/>
      <c r="Z94" s="21"/>
      <c r="AA94" s="21"/>
      <c r="AD94" s="67"/>
      <c r="AE94" s="67"/>
      <c r="AF94" s="67"/>
      <c r="AG94" s="67"/>
      <c r="AH94" s="70"/>
      <c r="AI94" s="70"/>
      <c r="AJ94" s="70"/>
      <c r="AK94" s="70"/>
      <c r="AL94" s="70"/>
      <c r="AM94" s="70"/>
      <c r="AN94" s="70"/>
      <c r="AO94" s="70"/>
      <c r="AP94" s="70"/>
      <c r="AQ94" s="70"/>
      <c r="AR94" s="70"/>
      <c r="AS94" s="70"/>
    </row>
    <row r="95" spans="3:45" s="102" customFormat="1" ht="15.75" customHeight="1" x14ac:dyDescent="0.25">
      <c r="C95" s="19"/>
      <c r="D95" s="19"/>
      <c r="E95" s="19"/>
      <c r="F95" s="19"/>
      <c r="G95" s="19"/>
      <c r="H95" s="19"/>
      <c r="I95" s="19"/>
      <c r="J95" s="68"/>
      <c r="K95" s="19"/>
      <c r="L95" s="19"/>
      <c r="M95" s="68"/>
      <c r="N95" s="21"/>
      <c r="O95" s="68"/>
      <c r="P95" s="19"/>
      <c r="Q95" s="21"/>
      <c r="R95" s="21"/>
      <c r="S95" s="21"/>
      <c r="T95" s="49"/>
      <c r="U95" s="100"/>
      <c r="V95" s="21"/>
      <c r="W95" s="21"/>
      <c r="X95" s="68"/>
      <c r="Y95" s="21"/>
      <c r="Z95" s="21"/>
      <c r="AA95" s="21"/>
      <c r="AB95" s="19"/>
      <c r="AC95" s="19"/>
      <c r="AD95" s="24"/>
      <c r="AE95" s="24"/>
      <c r="AF95" s="67"/>
      <c r="AG95" s="67"/>
      <c r="AH95" s="70"/>
      <c r="AI95" s="70"/>
      <c r="AJ95" s="101"/>
      <c r="AK95" s="101"/>
      <c r="AL95" s="101"/>
      <c r="AM95" s="101"/>
      <c r="AN95" s="101"/>
      <c r="AO95" s="101"/>
      <c r="AP95" s="101"/>
      <c r="AQ95" s="101"/>
      <c r="AR95" s="101"/>
      <c r="AS95" s="101"/>
    </row>
    <row r="96" spans="3:45" s="102" customFormat="1" ht="20.100000000000001" customHeight="1" x14ac:dyDescent="0.25">
      <c r="C96" s="19"/>
      <c r="D96" s="19"/>
      <c r="E96" s="19"/>
      <c r="F96" s="19"/>
      <c r="G96" s="19"/>
      <c r="H96" s="19"/>
      <c r="I96" s="19"/>
      <c r="J96" s="68"/>
      <c r="K96" s="19"/>
      <c r="L96" s="19"/>
      <c r="M96" s="21"/>
      <c r="N96" s="21"/>
      <c r="O96" s="21"/>
      <c r="Q96" s="21"/>
      <c r="R96" s="21"/>
      <c r="S96" s="21"/>
      <c r="T96" s="49"/>
      <c r="U96" s="100"/>
      <c r="V96" s="21"/>
      <c r="W96" s="21"/>
      <c r="X96" s="68"/>
      <c r="Y96" s="21"/>
      <c r="Z96" s="21"/>
      <c r="AA96" s="21"/>
      <c r="AB96" s="19"/>
      <c r="AC96" s="19"/>
      <c r="AD96" s="24"/>
      <c r="AE96" s="24"/>
      <c r="AF96" s="24"/>
      <c r="AG96" s="24"/>
      <c r="AH96" s="70"/>
      <c r="AI96" s="70"/>
      <c r="AJ96" s="101"/>
      <c r="AK96" s="101"/>
      <c r="AL96" s="101"/>
      <c r="AM96" s="101"/>
      <c r="AN96" s="101"/>
      <c r="AO96" s="101"/>
      <c r="AP96" s="101"/>
      <c r="AQ96" s="101"/>
      <c r="AR96" s="101"/>
      <c r="AS96" s="101"/>
    </row>
    <row r="97" spans="3:45" s="102" customFormat="1" ht="20.100000000000001" customHeight="1" x14ac:dyDescent="0.25">
      <c r="C97" s="19"/>
      <c r="D97" s="19"/>
      <c r="E97" s="19"/>
      <c r="F97" s="19"/>
      <c r="G97" s="19"/>
      <c r="H97" s="19"/>
      <c r="I97" s="19"/>
      <c r="J97" s="68"/>
      <c r="K97" s="19"/>
      <c r="L97" s="19"/>
      <c r="M97" s="21"/>
      <c r="N97" s="21"/>
      <c r="O97" s="21"/>
      <c r="Q97" s="21"/>
      <c r="R97" s="21"/>
      <c r="S97" s="21"/>
      <c r="T97" s="49"/>
      <c r="U97" s="100"/>
      <c r="V97" s="21"/>
      <c r="W97" s="21"/>
      <c r="X97" s="68"/>
      <c r="Y97" s="21"/>
      <c r="Z97" s="21"/>
      <c r="AA97" s="21"/>
      <c r="AB97" s="19"/>
      <c r="AC97" s="19"/>
      <c r="AD97" s="19"/>
      <c r="AE97" s="19"/>
      <c r="AF97" s="24"/>
      <c r="AG97" s="24"/>
      <c r="AH97" s="19"/>
      <c r="AI97" s="19"/>
      <c r="AJ97" s="101"/>
      <c r="AK97" s="101"/>
      <c r="AL97" s="101"/>
      <c r="AM97" s="101"/>
      <c r="AN97" s="101"/>
      <c r="AO97" s="101"/>
      <c r="AP97" s="101"/>
      <c r="AQ97" s="101"/>
      <c r="AR97" s="101"/>
      <c r="AS97" s="101"/>
    </row>
    <row r="98" spans="3:45" s="102" customFormat="1" ht="20.100000000000001" customHeight="1" x14ac:dyDescent="0.25">
      <c r="C98" s="19"/>
      <c r="D98" s="19"/>
      <c r="E98" s="19"/>
      <c r="F98" s="19"/>
      <c r="G98" s="19"/>
      <c r="H98" s="19"/>
      <c r="I98" s="19"/>
      <c r="J98" s="68"/>
      <c r="K98" s="19"/>
      <c r="L98" s="19"/>
      <c r="M98" s="21"/>
      <c r="N98" s="21"/>
      <c r="O98" s="21"/>
      <c r="Q98" s="21"/>
      <c r="R98" s="21"/>
      <c r="S98" s="21"/>
      <c r="T98" s="49"/>
      <c r="U98" s="100"/>
      <c r="V98" s="21"/>
      <c r="W98" s="21"/>
      <c r="X98" s="68"/>
      <c r="Y98" s="21"/>
      <c r="Z98" s="21"/>
      <c r="AA98" s="21"/>
      <c r="AB98" s="19"/>
      <c r="AC98" s="19"/>
      <c r="AD98" s="19"/>
      <c r="AE98" s="19"/>
      <c r="AF98" s="19"/>
      <c r="AG98" s="19"/>
      <c r="AH98" s="19"/>
      <c r="AI98" s="19"/>
      <c r="AJ98" s="101"/>
      <c r="AK98" s="101"/>
      <c r="AL98" s="101"/>
      <c r="AM98" s="101"/>
      <c r="AN98" s="101"/>
      <c r="AO98" s="101"/>
      <c r="AP98" s="101"/>
      <c r="AQ98" s="101"/>
      <c r="AR98" s="101"/>
      <c r="AS98" s="101"/>
    </row>
    <row r="99" spans="3:45" s="102" customFormat="1" ht="20.100000000000001" customHeight="1" x14ac:dyDescent="0.25">
      <c r="C99" s="19"/>
      <c r="D99" s="19"/>
      <c r="E99" s="19"/>
      <c r="F99" s="19"/>
      <c r="G99" s="19"/>
      <c r="H99" s="19"/>
      <c r="I99" s="19"/>
      <c r="J99" s="21"/>
      <c r="K99" s="19"/>
      <c r="L99" s="19"/>
      <c r="M99" s="21"/>
      <c r="N99" s="21"/>
      <c r="O99" s="21"/>
      <c r="Q99" s="19"/>
      <c r="R99" s="21"/>
      <c r="S99" s="19"/>
      <c r="T99" s="19"/>
      <c r="U99" s="19"/>
      <c r="V99" s="19"/>
      <c r="W99" s="19"/>
      <c r="X99" s="68"/>
      <c r="Y99" s="21"/>
      <c r="Z99" s="21"/>
      <c r="AA99" s="21"/>
      <c r="AB99" s="19"/>
      <c r="AC99" s="19"/>
      <c r="AD99" s="19"/>
      <c r="AE99" s="19"/>
      <c r="AF99" s="19"/>
      <c r="AG99" s="19"/>
      <c r="AH99" s="19"/>
      <c r="AI99" s="19"/>
      <c r="AJ99" s="101"/>
      <c r="AK99" s="101"/>
      <c r="AL99" s="101"/>
      <c r="AM99" s="101"/>
      <c r="AN99" s="101"/>
      <c r="AO99" s="101"/>
      <c r="AP99" s="101"/>
      <c r="AQ99" s="101"/>
      <c r="AR99" s="101"/>
      <c r="AS99" s="101"/>
    </row>
    <row r="100" spans="3:45" s="4" customFormat="1" ht="20.100000000000001" customHeight="1" x14ac:dyDescent="0.25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21"/>
      <c r="N100" s="21"/>
      <c r="O100" s="21"/>
      <c r="P100" s="102"/>
      <c r="Q100" s="19"/>
      <c r="R100" s="49"/>
      <c r="S100" s="19"/>
      <c r="T100" s="19"/>
      <c r="U100" s="19"/>
      <c r="V100" s="19"/>
      <c r="W100" s="19"/>
      <c r="X100" s="68"/>
      <c r="Y100" s="21"/>
      <c r="Z100" s="21"/>
      <c r="AA100" s="21"/>
      <c r="AB100" s="19"/>
      <c r="AC100" s="19"/>
      <c r="AD100" s="19"/>
      <c r="AE100" s="19"/>
      <c r="AF100" s="19"/>
      <c r="AG100" s="19"/>
      <c r="AH100" s="19"/>
      <c r="AI100" s="19"/>
      <c r="AJ100" s="101"/>
      <c r="AK100" s="101"/>
      <c r="AL100" s="101"/>
      <c r="AM100" s="101"/>
      <c r="AN100" s="101"/>
      <c r="AO100" s="101"/>
      <c r="AP100" s="101"/>
      <c r="AQ100" s="101"/>
      <c r="AR100" s="101"/>
      <c r="AS100" s="101"/>
    </row>
    <row r="101" spans="3:45" s="4" customFormat="1" ht="20.100000000000001" customHeight="1" x14ac:dyDescent="0.25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21"/>
      <c r="N101" s="19"/>
      <c r="O101" s="21"/>
      <c r="P101" s="102"/>
      <c r="Q101" s="19"/>
      <c r="R101" s="49"/>
      <c r="S101" s="19"/>
      <c r="T101" s="19"/>
      <c r="U101" s="19"/>
      <c r="V101" s="19"/>
      <c r="W101" s="19"/>
      <c r="X101" s="68"/>
      <c r="Y101" s="21"/>
      <c r="Z101" s="21"/>
      <c r="AA101" s="21"/>
      <c r="AB101" s="19"/>
      <c r="AC101" s="19"/>
      <c r="AD101" s="19"/>
      <c r="AE101" s="19"/>
      <c r="AF101" s="19"/>
      <c r="AG101" s="19"/>
      <c r="AH101" s="19"/>
      <c r="AI101" s="19"/>
      <c r="AJ101" s="101"/>
      <c r="AK101" s="101"/>
      <c r="AL101" s="101"/>
      <c r="AM101" s="101"/>
      <c r="AN101" s="101"/>
      <c r="AO101" s="101"/>
      <c r="AP101" s="101"/>
      <c r="AQ101" s="101"/>
      <c r="AR101" s="101"/>
      <c r="AS101" s="101"/>
    </row>
    <row r="102" spans="3:45" s="4" customFormat="1" ht="20.100000000000001" customHeight="1" x14ac:dyDescent="0.25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21"/>
      <c r="N102" s="19"/>
      <c r="O102" s="21"/>
      <c r="P102" s="102"/>
      <c r="Q102" s="19"/>
      <c r="R102" s="49"/>
      <c r="S102" s="19"/>
      <c r="T102" s="19"/>
      <c r="U102" s="19"/>
      <c r="V102" s="19"/>
      <c r="W102" s="19"/>
      <c r="X102" s="68"/>
      <c r="Y102" s="21"/>
      <c r="Z102" s="21"/>
      <c r="AA102" s="19"/>
      <c r="AB102" s="19"/>
      <c r="AC102" s="19"/>
      <c r="AD102" s="19"/>
      <c r="AE102" s="19"/>
      <c r="AF102" s="19"/>
      <c r="AG102" s="19"/>
      <c r="AH102" s="19"/>
      <c r="AI102" s="19"/>
      <c r="AJ102" s="101"/>
      <c r="AK102" s="101"/>
      <c r="AL102" s="101"/>
      <c r="AM102" s="101"/>
      <c r="AN102" s="101"/>
      <c r="AO102" s="101"/>
      <c r="AP102" s="101"/>
      <c r="AQ102" s="101"/>
      <c r="AR102" s="101"/>
      <c r="AS102" s="101"/>
    </row>
    <row r="103" spans="3:45" s="4" customFormat="1" ht="20.100000000000001" customHeight="1" x14ac:dyDescent="0.25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02"/>
      <c r="Q103" s="19"/>
      <c r="R103" s="4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01"/>
      <c r="AK103" s="101"/>
      <c r="AL103" s="101"/>
      <c r="AM103" s="101"/>
      <c r="AN103" s="101"/>
      <c r="AO103" s="101"/>
      <c r="AP103" s="101"/>
      <c r="AQ103" s="101"/>
      <c r="AR103" s="101"/>
      <c r="AS103" s="101"/>
    </row>
    <row r="104" spans="3:45" s="4" customFormat="1" ht="20.100000000000001" customHeight="1" x14ac:dyDescent="0.25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02"/>
      <c r="Q104" s="19"/>
      <c r="R104" s="4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01"/>
      <c r="AK104" s="101"/>
      <c r="AL104" s="101"/>
      <c r="AM104" s="101"/>
      <c r="AN104" s="101"/>
      <c r="AO104" s="101"/>
      <c r="AP104" s="101"/>
      <c r="AQ104" s="101"/>
      <c r="AR104" s="101"/>
      <c r="AS104" s="101"/>
    </row>
    <row r="105" spans="3:45" s="4" customFormat="1" ht="20.100000000000001" customHeight="1" x14ac:dyDescent="0.25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02"/>
      <c r="Q105" s="19"/>
      <c r="R105" s="4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01"/>
      <c r="AK105" s="101"/>
      <c r="AL105" s="101"/>
      <c r="AM105" s="101"/>
      <c r="AN105" s="101"/>
      <c r="AO105" s="101"/>
      <c r="AP105" s="101"/>
      <c r="AQ105" s="101"/>
      <c r="AR105" s="101"/>
      <c r="AS105" s="101"/>
    </row>
    <row r="106" spans="3:45" s="4" customFormat="1" ht="20.100000000000001" customHeight="1" x14ac:dyDescent="0.25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02"/>
      <c r="Q106" s="19"/>
      <c r="R106" s="4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01"/>
      <c r="AK106" s="101"/>
      <c r="AL106" s="101"/>
      <c r="AM106" s="101"/>
      <c r="AN106" s="101"/>
      <c r="AO106" s="101"/>
      <c r="AP106" s="101"/>
      <c r="AQ106" s="101"/>
      <c r="AR106" s="101"/>
      <c r="AS106" s="101"/>
    </row>
    <row r="107" spans="3:45" s="4" customFormat="1" ht="20.100000000000001" customHeight="1" x14ac:dyDescent="0.25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02"/>
      <c r="Q107" s="102"/>
      <c r="R107" s="58"/>
      <c r="S107" s="102"/>
      <c r="T107" s="102"/>
      <c r="U107" s="102"/>
      <c r="V107" s="102"/>
      <c r="W107" s="102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01"/>
      <c r="AK107" s="101"/>
      <c r="AL107" s="101"/>
      <c r="AM107" s="101"/>
      <c r="AN107" s="101"/>
      <c r="AO107" s="101"/>
      <c r="AP107" s="101"/>
      <c r="AQ107" s="101"/>
      <c r="AR107" s="101"/>
      <c r="AS107" s="101"/>
    </row>
    <row r="108" spans="3:45" s="4" customFormat="1" ht="20.100000000000001" customHeight="1" x14ac:dyDescent="0.25">
      <c r="C108" s="102"/>
      <c r="D108" s="102"/>
      <c r="E108" s="102"/>
      <c r="F108" s="102"/>
      <c r="G108" s="102"/>
      <c r="H108" s="102"/>
      <c r="I108" s="102"/>
      <c r="J108" s="19"/>
      <c r="K108" s="19"/>
      <c r="L108" s="19"/>
      <c r="M108" s="19"/>
      <c r="N108" s="19"/>
      <c r="O108" s="19"/>
      <c r="P108" s="102"/>
      <c r="Q108" s="102"/>
      <c r="R108" s="58"/>
      <c r="S108" s="102"/>
      <c r="T108" s="102"/>
      <c r="U108" s="102"/>
      <c r="V108" s="102"/>
      <c r="W108" s="102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01"/>
      <c r="AK108" s="101"/>
      <c r="AL108" s="101"/>
      <c r="AM108" s="101"/>
      <c r="AN108" s="101"/>
      <c r="AO108" s="101"/>
      <c r="AP108" s="101"/>
      <c r="AQ108" s="101"/>
      <c r="AR108" s="101"/>
      <c r="AS108" s="101"/>
    </row>
    <row r="109" spans="3:45" s="4" customFormat="1" ht="20.100000000000001" customHeight="1" x14ac:dyDescent="0.25">
      <c r="C109" s="102"/>
      <c r="D109" s="102"/>
      <c r="E109" s="102"/>
      <c r="F109" s="102"/>
      <c r="G109" s="102"/>
      <c r="H109" s="102"/>
      <c r="I109" s="102"/>
      <c r="J109" s="19"/>
      <c r="K109" s="102"/>
      <c r="L109" s="102"/>
      <c r="M109" s="19"/>
      <c r="N109" s="102"/>
      <c r="O109" s="19"/>
      <c r="P109" s="102"/>
      <c r="Q109" s="102"/>
      <c r="R109" s="58"/>
      <c r="S109" s="102"/>
      <c r="T109" s="102"/>
      <c r="U109" s="102"/>
      <c r="V109" s="102"/>
      <c r="W109" s="102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01"/>
      <c r="AK109" s="101"/>
      <c r="AL109" s="101"/>
      <c r="AM109" s="101"/>
      <c r="AN109" s="101"/>
      <c r="AO109" s="101"/>
      <c r="AP109" s="101"/>
      <c r="AQ109" s="101"/>
      <c r="AR109" s="101"/>
      <c r="AS109" s="101"/>
    </row>
    <row r="110" spans="3:45" s="4" customFormat="1" ht="20.100000000000001" customHeight="1" x14ac:dyDescent="0.25">
      <c r="C110" s="102"/>
      <c r="D110" s="102"/>
      <c r="E110" s="102"/>
      <c r="F110" s="102"/>
      <c r="G110" s="102"/>
      <c r="H110" s="102"/>
      <c r="I110" s="102"/>
      <c r="J110" s="19"/>
      <c r="K110" s="102"/>
      <c r="L110" s="102"/>
      <c r="M110" s="19"/>
      <c r="N110" s="102"/>
      <c r="O110" s="19"/>
      <c r="P110" s="102"/>
      <c r="Q110" s="102"/>
      <c r="R110" s="58"/>
      <c r="S110" s="102"/>
      <c r="T110" s="102"/>
      <c r="U110" s="102"/>
      <c r="V110" s="102"/>
      <c r="W110" s="102"/>
      <c r="X110" s="19"/>
      <c r="Y110" s="19"/>
      <c r="Z110" s="19"/>
      <c r="AA110" s="102"/>
      <c r="AB110" s="102"/>
      <c r="AC110" s="102"/>
      <c r="AD110" s="19"/>
      <c r="AE110" s="19"/>
      <c r="AF110" s="19"/>
      <c r="AG110" s="19"/>
      <c r="AH110" s="19"/>
      <c r="AI110" s="19"/>
      <c r="AJ110" s="101"/>
      <c r="AK110" s="101"/>
      <c r="AL110" s="101"/>
      <c r="AM110" s="101"/>
      <c r="AN110" s="101"/>
      <c r="AO110" s="101"/>
      <c r="AP110" s="101"/>
      <c r="AQ110" s="101"/>
      <c r="AR110" s="101"/>
      <c r="AS110" s="101"/>
    </row>
    <row r="111" spans="3:45" s="4" customFormat="1" ht="20.100000000000001" customHeight="1" x14ac:dyDescent="0.25">
      <c r="C111" s="102"/>
      <c r="D111" s="102"/>
      <c r="E111" s="102"/>
      <c r="F111" s="102"/>
      <c r="G111" s="102"/>
      <c r="H111" s="102"/>
      <c r="I111" s="102"/>
      <c r="J111" s="19"/>
      <c r="K111" s="102"/>
      <c r="L111" s="102"/>
      <c r="M111" s="102"/>
      <c r="N111" s="102"/>
      <c r="O111" s="102"/>
      <c r="P111" s="102"/>
      <c r="Q111" s="102"/>
      <c r="R111" s="58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9"/>
      <c r="AE111" s="19"/>
      <c r="AF111" s="19"/>
      <c r="AG111" s="19"/>
      <c r="AH111" s="19"/>
      <c r="AI111" s="19"/>
      <c r="AJ111" s="101"/>
      <c r="AK111" s="101"/>
      <c r="AL111" s="101"/>
      <c r="AM111" s="101"/>
      <c r="AN111" s="101"/>
      <c r="AO111" s="101"/>
      <c r="AP111" s="101"/>
      <c r="AQ111" s="101"/>
      <c r="AR111" s="101"/>
      <c r="AS111" s="101"/>
    </row>
    <row r="112" spans="3:45" s="4" customFormat="1" ht="20.100000000000001" customHeight="1" x14ac:dyDescent="0.25">
      <c r="C112" s="102"/>
      <c r="D112" s="102"/>
      <c r="E112" s="102"/>
      <c r="F112" s="102"/>
      <c r="G112" s="102"/>
      <c r="H112" s="102"/>
      <c r="I112" s="102"/>
      <c r="J112" s="19"/>
      <c r="K112" s="102"/>
      <c r="L112" s="102"/>
      <c r="M112" s="102"/>
      <c r="N112" s="102"/>
      <c r="O112" s="102"/>
      <c r="P112" s="102"/>
      <c r="Q112" s="102"/>
      <c r="R112" s="58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9"/>
      <c r="AE112" s="19"/>
      <c r="AF112" s="19"/>
      <c r="AG112" s="19"/>
      <c r="AH112" s="102"/>
      <c r="AI112" s="102"/>
      <c r="AJ112" s="101"/>
      <c r="AK112" s="101"/>
      <c r="AL112" s="101"/>
      <c r="AM112" s="101"/>
      <c r="AN112" s="101"/>
      <c r="AO112" s="101"/>
      <c r="AP112" s="101"/>
      <c r="AQ112" s="101"/>
      <c r="AR112" s="101"/>
      <c r="AS112" s="101"/>
    </row>
    <row r="113" spans="3:45" s="4" customFormat="1" ht="20.100000000000001" customHeight="1" x14ac:dyDescent="0.25">
      <c r="C113" s="102"/>
      <c r="D113" s="102"/>
      <c r="E113" s="102"/>
      <c r="F113" s="102"/>
      <c r="G113" s="102"/>
      <c r="H113" s="102"/>
      <c r="I113" s="102"/>
      <c r="J113" s="19"/>
      <c r="K113" s="102"/>
      <c r="L113" s="102"/>
      <c r="M113" s="102"/>
      <c r="N113" s="102"/>
      <c r="O113" s="102"/>
      <c r="P113" s="102"/>
      <c r="Q113" s="102"/>
      <c r="R113" s="58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9"/>
      <c r="AE113" s="19"/>
      <c r="AF113" s="19"/>
      <c r="AG113" s="19"/>
      <c r="AH113" s="102"/>
      <c r="AI113" s="102"/>
      <c r="AJ113" s="101"/>
      <c r="AK113" s="101"/>
      <c r="AL113" s="101"/>
      <c r="AM113" s="101"/>
      <c r="AN113" s="101"/>
      <c r="AO113" s="101"/>
      <c r="AP113" s="101"/>
      <c r="AQ113" s="101"/>
      <c r="AR113" s="101"/>
      <c r="AS113" s="101"/>
    </row>
    <row r="114" spans="3:45" s="4" customFormat="1" ht="20.100000000000001" customHeight="1" x14ac:dyDescent="0.25"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58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9"/>
      <c r="AE114" s="19"/>
      <c r="AF114" s="19"/>
      <c r="AG114" s="19"/>
      <c r="AH114" s="102"/>
      <c r="AI114" s="102"/>
      <c r="AJ114" s="101"/>
      <c r="AK114" s="101"/>
      <c r="AL114" s="101"/>
      <c r="AM114" s="101"/>
      <c r="AN114" s="101"/>
      <c r="AO114" s="101"/>
      <c r="AP114" s="101"/>
      <c r="AQ114" s="101"/>
      <c r="AR114" s="101"/>
      <c r="AS114" s="101"/>
    </row>
    <row r="115" spans="3:45" s="4" customFormat="1" ht="20.100000000000001" customHeight="1" x14ac:dyDescent="0.25"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58"/>
      <c r="S115" s="102"/>
      <c r="T115" s="102"/>
      <c r="U115" s="102"/>
      <c r="V115" s="102"/>
      <c r="W115" s="102"/>
      <c r="X115" s="102"/>
      <c r="Y115" s="102"/>
      <c r="Z115" s="102"/>
      <c r="AA115" s="102"/>
      <c r="AB115" s="102"/>
      <c r="AC115" s="102"/>
      <c r="AD115" s="19"/>
      <c r="AE115" s="19"/>
      <c r="AF115" s="19"/>
      <c r="AG115" s="19"/>
      <c r="AH115" s="102"/>
      <c r="AI115" s="102"/>
      <c r="AJ115" s="101"/>
      <c r="AK115" s="101"/>
      <c r="AL115" s="101"/>
      <c r="AM115" s="101"/>
      <c r="AN115" s="101"/>
      <c r="AO115" s="101"/>
      <c r="AP115" s="101"/>
      <c r="AQ115" s="101"/>
      <c r="AR115" s="101"/>
      <c r="AS115" s="101"/>
    </row>
    <row r="116" spans="3:45" s="4" customFormat="1" ht="20.100000000000001" customHeight="1" x14ac:dyDescent="0.25"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58"/>
      <c r="S116" s="102"/>
      <c r="T116" s="102"/>
      <c r="U116" s="102"/>
      <c r="V116" s="102"/>
      <c r="W116" s="102"/>
      <c r="X116" s="102"/>
      <c r="Y116" s="102"/>
      <c r="Z116" s="102"/>
      <c r="AA116" s="102"/>
      <c r="AB116" s="102"/>
      <c r="AC116" s="102"/>
      <c r="AD116" s="19"/>
      <c r="AE116" s="19"/>
      <c r="AF116" s="19"/>
      <c r="AG116" s="19"/>
      <c r="AH116" s="102"/>
      <c r="AI116" s="102"/>
      <c r="AJ116" s="101"/>
      <c r="AK116" s="101"/>
      <c r="AL116" s="101"/>
      <c r="AM116" s="101"/>
      <c r="AN116" s="101"/>
      <c r="AO116" s="101"/>
      <c r="AP116" s="101"/>
      <c r="AQ116" s="101"/>
      <c r="AR116" s="101"/>
      <c r="AS116" s="101"/>
    </row>
    <row r="117" spans="3:45" s="4" customFormat="1" ht="20.100000000000001" customHeight="1" x14ac:dyDescent="0.25"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58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9"/>
      <c r="AE117" s="19"/>
      <c r="AF117" s="19"/>
      <c r="AG117" s="102"/>
      <c r="AH117" s="102"/>
      <c r="AI117" s="102"/>
      <c r="AJ117" s="101"/>
      <c r="AK117" s="101"/>
      <c r="AL117" s="101"/>
      <c r="AM117" s="101"/>
      <c r="AN117" s="101"/>
      <c r="AO117" s="101"/>
      <c r="AP117" s="101"/>
      <c r="AQ117" s="101"/>
      <c r="AR117" s="101"/>
      <c r="AS117" s="101"/>
    </row>
    <row r="118" spans="3:45" s="4" customFormat="1" ht="20.100000000000001" customHeight="1" x14ac:dyDescent="0.25"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58"/>
      <c r="S118" s="102"/>
      <c r="T118" s="102"/>
      <c r="U118" s="102"/>
      <c r="V118" s="102"/>
      <c r="W118" s="102"/>
      <c r="X118" s="102"/>
      <c r="Y118" s="102"/>
      <c r="Z118" s="102"/>
      <c r="AA118" s="102"/>
      <c r="AB118" s="102"/>
      <c r="AC118" s="102"/>
      <c r="AD118" s="19"/>
      <c r="AE118" s="19"/>
      <c r="AF118" s="19"/>
      <c r="AG118" s="102"/>
      <c r="AH118" s="102"/>
      <c r="AI118" s="102"/>
      <c r="AJ118" s="101"/>
      <c r="AK118" s="101"/>
      <c r="AL118" s="101"/>
      <c r="AM118" s="101"/>
      <c r="AN118" s="101"/>
      <c r="AO118" s="101"/>
      <c r="AP118" s="101"/>
      <c r="AQ118" s="101"/>
      <c r="AR118" s="101"/>
      <c r="AS118" s="101"/>
    </row>
    <row r="119" spans="3:45" s="4" customFormat="1" ht="20.100000000000001" customHeight="1" x14ac:dyDescent="0.25"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58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9"/>
      <c r="AE119" s="19"/>
      <c r="AF119" s="19"/>
      <c r="AG119" s="102"/>
      <c r="AH119" s="102"/>
      <c r="AI119" s="102"/>
      <c r="AJ119" s="101"/>
      <c r="AK119" s="101"/>
      <c r="AL119" s="101"/>
      <c r="AM119" s="101"/>
      <c r="AN119" s="101"/>
      <c r="AO119" s="101"/>
      <c r="AP119" s="101"/>
      <c r="AQ119" s="101"/>
      <c r="AR119" s="101"/>
      <c r="AS119" s="101"/>
    </row>
    <row r="120" spans="3:45" s="4" customFormat="1" ht="20.100000000000001" customHeight="1" x14ac:dyDescent="0.25"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58"/>
      <c r="S120" s="102"/>
      <c r="T120" s="102"/>
      <c r="U120" s="102"/>
      <c r="V120" s="102"/>
      <c r="W120" s="102"/>
      <c r="X120" s="102"/>
      <c r="Y120" s="102"/>
      <c r="Z120" s="102"/>
      <c r="AA120" s="102"/>
      <c r="AB120" s="102"/>
      <c r="AC120" s="102"/>
      <c r="AD120" s="19"/>
      <c r="AE120" s="19"/>
      <c r="AF120" s="19"/>
      <c r="AG120" s="102"/>
      <c r="AH120" s="102"/>
      <c r="AI120" s="102"/>
      <c r="AJ120" s="101"/>
      <c r="AK120" s="101"/>
      <c r="AL120" s="101"/>
      <c r="AM120" s="101"/>
      <c r="AN120" s="101"/>
      <c r="AO120" s="101"/>
      <c r="AP120" s="101"/>
      <c r="AQ120" s="101"/>
      <c r="AR120" s="101"/>
      <c r="AS120" s="101"/>
    </row>
    <row r="121" spans="3:45" s="4" customFormat="1" ht="20.100000000000001" customHeight="1" x14ac:dyDescent="0.25"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58"/>
      <c r="S121" s="102"/>
      <c r="T121" s="102"/>
      <c r="U121" s="102"/>
      <c r="V121" s="102"/>
      <c r="W121" s="102"/>
      <c r="X121" s="102"/>
      <c r="Y121" s="102"/>
      <c r="Z121" s="102"/>
      <c r="AA121" s="102"/>
      <c r="AB121" s="102"/>
      <c r="AC121" s="102"/>
      <c r="AD121" s="19"/>
      <c r="AE121" s="19"/>
      <c r="AF121" s="19"/>
      <c r="AG121" s="102"/>
      <c r="AH121" s="102"/>
      <c r="AI121" s="102"/>
      <c r="AJ121" s="102"/>
      <c r="AK121" s="102"/>
      <c r="AL121" s="102"/>
      <c r="AM121" s="102"/>
      <c r="AN121" s="102"/>
      <c r="AO121" s="102"/>
      <c r="AP121" s="102"/>
      <c r="AQ121" s="102"/>
      <c r="AR121" s="102"/>
      <c r="AS121" s="102"/>
    </row>
    <row r="122" spans="3:45" s="4" customFormat="1" ht="20.100000000000001" customHeight="1" x14ac:dyDescent="0.25"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58"/>
      <c r="S122" s="102"/>
      <c r="T122" s="102"/>
      <c r="U122" s="102"/>
      <c r="V122" s="102"/>
      <c r="W122" s="102"/>
      <c r="X122" s="102"/>
      <c r="Y122" s="102"/>
      <c r="Z122" s="102"/>
      <c r="AA122" s="102"/>
      <c r="AB122" s="102"/>
      <c r="AC122" s="102"/>
      <c r="AD122" s="19"/>
      <c r="AE122" s="19"/>
      <c r="AF122" s="19"/>
      <c r="AG122" s="102"/>
      <c r="AH122" s="102"/>
      <c r="AI122" s="102"/>
      <c r="AJ122" s="102"/>
      <c r="AK122" s="102"/>
      <c r="AL122" s="102"/>
      <c r="AM122" s="102"/>
      <c r="AN122" s="102"/>
      <c r="AO122" s="102"/>
      <c r="AP122" s="102"/>
      <c r="AQ122" s="102"/>
      <c r="AR122" s="102"/>
      <c r="AS122" s="102"/>
    </row>
    <row r="123" spans="3:45" s="4" customFormat="1" ht="20.100000000000001" customHeight="1" x14ac:dyDescent="0.25"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58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/>
      <c r="AC123" s="102"/>
      <c r="AD123" s="19"/>
      <c r="AE123" s="19"/>
      <c r="AF123" s="19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</row>
    <row r="124" spans="3:45" s="4" customFormat="1" ht="20.100000000000001" customHeight="1" x14ac:dyDescent="0.25"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58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102"/>
      <c r="AD124" s="19"/>
      <c r="AE124" s="19"/>
      <c r="AF124" s="19"/>
      <c r="AG124" s="102"/>
      <c r="AH124" s="102"/>
      <c r="AI124" s="102"/>
      <c r="AJ124" s="102"/>
      <c r="AK124" s="102"/>
      <c r="AL124" s="102"/>
      <c r="AM124" s="102"/>
      <c r="AN124" s="102"/>
      <c r="AO124" s="102"/>
      <c r="AP124" s="102"/>
      <c r="AQ124" s="102"/>
      <c r="AR124" s="102"/>
      <c r="AS124" s="102"/>
    </row>
    <row r="125" spans="3:45" s="4" customFormat="1" ht="20.100000000000001" customHeight="1" x14ac:dyDescent="0.25"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58"/>
      <c r="S125" s="102"/>
      <c r="T125" s="102"/>
      <c r="U125" s="102"/>
      <c r="V125" s="102"/>
      <c r="W125" s="102"/>
      <c r="X125" s="102"/>
      <c r="Y125" s="102"/>
      <c r="Z125" s="102"/>
      <c r="AA125" s="102"/>
      <c r="AB125" s="102"/>
      <c r="AC125" s="102"/>
      <c r="AD125" s="19"/>
      <c r="AE125" s="19"/>
      <c r="AF125" s="19"/>
      <c r="AG125" s="102"/>
      <c r="AH125" s="102"/>
      <c r="AI125" s="102"/>
      <c r="AJ125" s="102"/>
      <c r="AK125" s="102"/>
      <c r="AL125" s="102"/>
      <c r="AM125" s="102"/>
      <c r="AN125" s="102"/>
      <c r="AO125" s="102"/>
      <c r="AP125" s="102"/>
      <c r="AQ125" s="102"/>
      <c r="AR125" s="102"/>
      <c r="AS125" s="102"/>
    </row>
    <row r="126" spans="3:45" s="4" customFormat="1" ht="20.100000000000001" customHeight="1" x14ac:dyDescent="0.25"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58"/>
      <c r="S126" s="102"/>
      <c r="T126" s="102"/>
      <c r="U126" s="102"/>
      <c r="V126" s="102"/>
      <c r="W126" s="102"/>
      <c r="X126" s="102"/>
      <c r="Y126" s="102"/>
      <c r="Z126" s="102"/>
      <c r="AA126" s="102"/>
      <c r="AB126" s="102"/>
      <c r="AC126" s="102"/>
      <c r="AD126" s="19"/>
      <c r="AE126" s="19"/>
      <c r="AF126" s="19"/>
      <c r="AG126" s="102"/>
      <c r="AH126" s="102"/>
      <c r="AI126" s="102"/>
      <c r="AJ126" s="102"/>
      <c r="AK126" s="102"/>
      <c r="AL126" s="102"/>
      <c r="AM126" s="102"/>
      <c r="AN126" s="102"/>
      <c r="AO126" s="102"/>
      <c r="AP126" s="102"/>
      <c r="AQ126" s="102"/>
      <c r="AR126" s="102"/>
      <c r="AS126" s="102"/>
    </row>
    <row r="127" spans="3:45" s="4" customFormat="1" ht="20.100000000000001" customHeight="1" x14ac:dyDescent="0.25"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58"/>
      <c r="S127" s="102"/>
      <c r="T127" s="102"/>
      <c r="U127" s="102"/>
      <c r="V127" s="102"/>
      <c r="W127" s="102"/>
      <c r="X127" s="102"/>
      <c r="Y127" s="102"/>
      <c r="Z127" s="102"/>
      <c r="AA127" s="102"/>
      <c r="AB127" s="102"/>
      <c r="AC127" s="102"/>
      <c r="AD127" s="19"/>
      <c r="AE127" s="19"/>
      <c r="AF127" s="19"/>
      <c r="AG127" s="102"/>
      <c r="AH127" s="102"/>
      <c r="AI127" s="102"/>
      <c r="AJ127" s="102"/>
      <c r="AK127" s="102"/>
      <c r="AL127" s="102"/>
      <c r="AM127" s="102"/>
      <c r="AN127" s="102"/>
      <c r="AO127" s="102"/>
      <c r="AP127" s="102"/>
      <c r="AQ127" s="102"/>
      <c r="AR127" s="102"/>
      <c r="AS127" s="102"/>
    </row>
    <row r="128" spans="3:45" s="4" customFormat="1" ht="20.100000000000001" customHeight="1" x14ac:dyDescent="0.25"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58"/>
      <c r="S128" s="102"/>
      <c r="T128" s="102"/>
      <c r="U128" s="102"/>
      <c r="V128" s="102"/>
      <c r="W128" s="102"/>
      <c r="X128" s="102"/>
      <c r="Y128" s="102"/>
      <c r="Z128" s="102"/>
      <c r="AA128" s="102"/>
      <c r="AB128" s="102"/>
      <c r="AC128" s="102"/>
      <c r="AD128" s="19"/>
      <c r="AE128" s="19"/>
      <c r="AF128" s="19"/>
      <c r="AG128" s="102"/>
      <c r="AH128" s="102"/>
      <c r="AI128" s="102"/>
      <c r="AJ128" s="102"/>
      <c r="AK128" s="102"/>
      <c r="AL128" s="102"/>
      <c r="AM128" s="102"/>
      <c r="AN128" s="102"/>
      <c r="AO128" s="102"/>
      <c r="AP128" s="102"/>
      <c r="AQ128" s="102"/>
      <c r="AR128" s="102"/>
      <c r="AS128" s="102"/>
    </row>
    <row r="129" spans="3:45" s="4" customFormat="1" ht="20.100000000000001" customHeight="1" x14ac:dyDescent="0.25"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58"/>
      <c r="S129" s="102"/>
      <c r="T129" s="102"/>
      <c r="U129" s="102"/>
      <c r="V129" s="102"/>
      <c r="W129" s="102"/>
      <c r="X129" s="102"/>
      <c r="Y129" s="102"/>
      <c r="Z129" s="102"/>
      <c r="AA129" s="102"/>
      <c r="AB129" s="102"/>
      <c r="AC129" s="102"/>
      <c r="AD129" s="19"/>
      <c r="AE129" s="19"/>
      <c r="AF129" s="19"/>
      <c r="AG129" s="102"/>
      <c r="AH129" s="102"/>
      <c r="AI129" s="102"/>
      <c r="AJ129" s="102"/>
      <c r="AK129" s="102"/>
      <c r="AL129" s="102"/>
      <c r="AM129" s="102"/>
      <c r="AN129" s="102"/>
      <c r="AO129" s="102"/>
      <c r="AP129" s="102"/>
      <c r="AQ129" s="102"/>
      <c r="AR129" s="102"/>
      <c r="AS129" s="102"/>
    </row>
    <row r="130" spans="3:45" s="4" customFormat="1" ht="20.100000000000001" customHeight="1" x14ac:dyDescent="0.25"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58"/>
      <c r="S130" s="102"/>
      <c r="T130" s="102"/>
      <c r="U130" s="102"/>
      <c r="V130" s="102"/>
      <c r="W130" s="102"/>
      <c r="X130" s="102"/>
      <c r="Y130" s="102"/>
      <c r="Z130" s="102"/>
      <c r="AA130" s="102"/>
      <c r="AB130" s="102"/>
      <c r="AC130" s="102"/>
      <c r="AD130" s="19"/>
      <c r="AE130" s="19"/>
      <c r="AF130" s="19"/>
      <c r="AG130" s="102"/>
      <c r="AH130" s="102"/>
      <c r="AI130" s="102"/>
      <c r="AJ130" s="102"/>
      <c r="AK130" s="102"/>
      <c r="AL130" s="102"/>
      <c r="AM130" s="102"/>
      <c r="AN130" s="102"/>
      <c r="AO130" s="102"/>
      <c r="AP130" s="102"/>
      <c r="AQ130" s="102"/>
      <c r="AR130" s="102"/>
      <c r="AS130" s="102"/>
    </row>
    <row r="131" spans="3:45" s="4" customFormat="1" ht="20.100000000000001" customHeight="1" x14ac:dyDescent="0.25"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58"/>
      <c r="S131" s="102"/>
      <c r="T131" s="102"/>
      <c r="U131" s="102"/>
      <c r="V131" s="102"/>
      <c r="W131" s="102"/>
      <c r="X131" s="102"/>
      <c r="Y131" s="102"/>
      <c r="Z131" s="102"/>
      <c r="AA131" s="102"/>
      <c r="AB131" s="102"/>
      <c r="AC131" s="102"/>
      <c r="AD131" s="19"/>
      <c r="AE131" s="19"/>
      <c r="AF131" s="19"/>
      <c r="AG131" s="102"/>
      <c r="AH131" s="102"/>
      <c r="AI131" s="102"/>
      <c r="AJ131" s="102"/>
      <c r="AK131" s="102"/>
      <c r="AL131" s="102"/>
      <c r="AM131" s="102"/>
      <c r="AN131" s="102"/>
      <c r="AO131" s="102"/>
      <c r="AP131" s="102"/>
      <c r="AQ131" s="102"/>
      <c r="AR131" s="102"/>
      <c r="AS131" s="102"/>
    </row>
    <row r="132" spans="3:45" s="4" customFormat="1" ht="20.100000000000001" customHeight="1" x14ac:dyDescent="0.25"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58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9"/>
      <c r="AE132" s="19"/>
      <c r="AF132" s="19"/>
      <c r="AG132" s="102"/>
      <c r="AH132" s="102"/>
      <c r="AI132" s="102"/>
      <c r="AJ132" s="102"/>
      <c r="AK132" s="102"/>
      <c r="AL132" s="102"/>
      <c r="AM132" s="102"/>
      <c r="AN132" s="102"/>
      <c r="AO132" s="102"/>
      <c r="AP132" s="102"/>
      <c r="AQ132" s="102"/>
      <c r="AR132" s="102"/>
      <c r="AS132" s="102"/>
    </row>
    <row r="133" spans="3:45" s="4" customFormat="1" ht="20.100000000000001" customHeight="1" x14ac:dyDescent="0.25"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58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9"/>
      <c r="AE133" s="19"/>
      <c r="AF133" s="19"/>
      <c r="AG133" s="102"/>
      <c r="AH133" s="102"/>
      <c r="AI133" s="102"/>
      <c r="AJ133" s="102"/>
      <c r="AK133" s="102"/>
      <c r="AL133" s="102"/>
      <c r="AM133" s="102"/>
      <c r="AN133" s="102"/>
      <c r="AO133" s="102"/>
      <c r="AP133" s="102"/>
      <c r="AQ133" s="102"/>
      <c r="AR133" s="102"/>
      <c r="AS133" s="102"/>
    </row>
    <row r="134" spans="3:45" s="4" customFormat="1" ht="20.100000000000001" customHeight="1" x14ac:dyDescent="0.25"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58"/>
      <c r="S134" s="102"/>
      <c r="T134" s="102"/>
      <c r="U134" s="102"/>
      <c r="V134" s="102"/>
      <c r="W134" s="102"/>
      <c r="X134" s="102"/>
      <c r="Y134" s="102"/>
      <c r="Z134" s="102"/>
      <c r="AA134" s="102"/>
      <c r="AB134" s="102"/>
      <c r="AC134" s="102"/>
      <c r="AD134" s="19"/>
      <c r="AE134" s="19"/>
      <c r="AF134" s="19"/>
      <c r="AG134" s="102"/>
      <c r="AH134" s="102"/>
      <c r="AI134" s="102"/>
      <c r="AJ134" s="102"/>
      <c r="AK134" s="102"/>
      <c r="AL134" s="102"/>
      <c r="AM134" s="102"/>
      <c r="AN134" s="102"/>
      <c r="AO134" s="102"/>
      <c r="AP134" s="102"/>
      <c r="AQ134" s="102"/>
      <c r="AR134" s="102"/>
      <c r="AS134" s="102"/>
    </row>
    <row r="135" spans="3:45" s="4" customFormat="1" ht="20.100000000000001" customHeight="1" x14ac:dyDescent="0.25"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58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9"/>
      <c r="AE135" s="19"/>
      <c r="AF135" s="19"/>
      <c r="AG135" s="102"/>
      <c r="AH135" s="102"/>
      <c r="AI135" s="102"/>
      <c r="AJ135" s="102"/>
      <c r="AK135" s="102"/>
      <c r="AL135" s="102"/>
      <c r="AM135" s="102"/>
      <c r="AN135" s="102"/>
      <c r="AO135" s="102"/>
      <c r="AP135" s="102"/>
      <c r="AQ135" s="102"/>
      <c r="AR135" s="102"/>
      <c r="AS135" s="102"/>
    </row>
    <row r="136" spans="3:45" s="4" customFormat="1" ht="20.100000000000001" customHeight="1" x14ac:dyDescent="0.25"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58"/>
      <c r="S136" s="102"/>
      <c r="T136" s="102"/>
      <c r="U136" s="102"/>
      <c r="V136" s="102"/>
      <c r="W136" s="102"/>
      <c r="X136" s="102"/>
      <c r="Y136" s="102"/>
      <c r="Z136" s="102"/>
      <c r="AA136" s="102"/>
      <c r="AB136" s="102"/>
      <c r="AC136" s="102"/>
      <c r="AD136" s="19"/>
      <c r="AE136" s="19"/>
      <c r="AF136" s="19"/>
      <c r="AG136" s="102"/>
      <c r="AH136" s="102"/>
      <c r="AI136" s="102"/>
      <c r="AJ136" s="102"/>
      <c r="AK136" s="102"/>
      <c r="AL136" s="102"/>
      <c r="AM136" s="102"/>
      <c r="AN136" s="102"/>
      <c r="AO136" s="102"/>
      <c r="AP136" s="102"/>
      <c r="AQ136" s="102"/>
      <c r="AR136" s="102"/>
      <c r="AS136" s="102"/>
    </row>
    <row r="137" spans="3:45" s="4" customFormat="1" ht="20.100000000000001" customHeight="1" x14ac:dyDescent="0.25"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58"/>
      <c r="S137" s="102"/>
      <c r="T137" s="102"/>
      <c r="U137" s="102"/>
      <c r="V137" s="102"/>
      <c r="W137" s="102"/>
      <c r="X137" s="102"/>
      <c r="Y137" s="102"/>
      <c r="Z137" s="102"/>
      <c r="AA137" s="102"/>
      <c r="AB137" s="102"/>
      <c r="AC137" s="102"/>
      <c r="AD137" s="19"/>
      <c r="AE137" s="19"/>
      <c r="AF137" s="19"/>
      <c r="AG137" s="102"/>
      <c r="AH137" s="102"/>
      <c r="AI137" s="102"/>
      <c r="AJ137" s="102"/>
      <c r="AK137" s="102"/>
      <c r="AL137" s="102"/>
      <c r="AM137" s="102"/>
      <c r="AN137" s="102"/>
      <c r="AO137" s="102"/>
      <c r="AP137" s="102"/>
      <c r="AQ137" s="102"/>
      <c r="AR137" s="102"/>
      <c r="AS137" s="102"/>
    </row>
    <row r="138" spans="3:45" s="4" customFormat="1" ht="20.100000000000001" customHeight="1" x14ac:dyDescent="0.25"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58"/>
      <c r="S138" s="102"/>
      <c r="T138" s="102"/>
      <c r="U138" s="102"/>
      <c r="V138" s="102"/>
      <c r="W138" s="102"/>
      <c r="X138" s="102"/>
      <c r="Y138" s="102"/>
      <c r="Z138" s="102"/>
      <c r="AA138" s="102"/>
      <c r="AB138" s="102"/>
      <c r="AC138" s="102"/>
      <c r="AD138" s="19"/>
      <c r="AE138" s="19"/>
      <c r="AF138" s="19"/>
      <c r="AG138" s="102"/>
      <c r="AH138" s="102"/>
      <c r="AI138" s="102"/>
      <c r="AJ138" s="102"/>
      <c r="AK138" s="102"/>
      <c r="AL138" s="102"/>
      <c r="AM138" s="102"/>
      <c r="AN138" s="102"/>
      <c r="AO138" s="102"/>
      <c r="AP138" s="102"/>
      <c r="AQ138" s="102"/>
      <c r="AR138" s="102"/>
      <c r="AS138" s="102"/>
    </row>
    <row r="139" spans="3:45" s="4" customFormat="1" ht="20.100000000000001" customHeight="1" x14ac:dyDescent="0.25"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58"/>
      <c r="S139" s="102"/>
      <c r="T139" s="102"/>
      <c r="U139" s="102"/>
      <c r="V139" s="102"/>
      <c r="W139" s="102"/>
      <c r="X139" s="102"/>
      <c r="Y139" s="102"/>
      <c r="Z139" s="102"/>
      <c r="AA139" s="102"/>
      <c r="AB139" s="102"/>
      <c r="AC139" s="102"/>
      <c r="AD139" s="19"/>
      <c r="AE139" s="19"/>
      <c r="AF139" s="19"/>
      <c r="AG139" s="102"/>
      <c r="AH139" s="102"/>
      <c r="AI139" s="102"/>
      <c r="AJ139" s="102"/>
      <c r="AK139" s="102"/>
      <c r="AL139" s="102"/>
      <c r="AM139" s="102"/>
      <c r="AN139" s="102"/>
      <c r="AO139" s="102"/>
      <c r="AP139" s="102"/>
      <c r="AQ139" s="102"/>
      <c r="AR139" s="102"/>
      <c r="AS139" s="102"/>
    </row>
    <row r="140" spans="3:45" s="4" customFormat="1" ht="20.100000000000001" customHeight="1" x14ac:dyDescent="0.25"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3"/>
      <c r="R140" s="58"/>
      <c r="S140" s="103"/>
      <c r="T140" s="102"/>
      <c r="U140" s="103"/>
      <c r="V140" s="102"/>
      <c r="W140" s="103"/>
      <c r="X140" s="102"/>
      <c r="Y140" s="102"/>
      <c r="Z140" s="102"/>
      <c r="AA140" s="102"/>
      <c r="AB140" s="102"/>
      <c r="AC140" s="102"/>
      <c r="AD140" s="19"/>
      <c r="AE140" s="19"/>
      <c r="AF140" s="19"/>
      <c r="AG140" s="102"/>
      <c r="AH140" s="102"/>
      <c r="AI140" s="102"/>
      <c r="AJ140" s="102"/>
      <c r="AK140" s="102"/>
      <c r="AL140" s="102"/>
      <c r="AM140" s="102"/>
      <c r="AN140" s="102"/>
      <c r="AO140" s="102"/>
      <c r="AP140" s="102"/>
      <c r="AQ140" s="102"/>
      <c r="AR140" s="102"/>
      <c r="AS140" s="102"/>
    </row>
    <row r="141" spans="3:45" s="4" customFormat="1" ht="20.100000000000001" customHeight="1" x14ac:dyDescent="0.25"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3"/>
      <c r="R141" s="58"/>
      <c r="S141" s="103"/>
      <c r="T141" s="102"/>
      <c r="U141" s="103"/>
      <c r="V141" s="102"/>
      <c r="W141" s="103"/>
      <c r="X141" s="102"/>
      <c r="Y141" s="102"/>
      <c r="Z141" s="102"/>
      <c r="AA141" s="102"/>
      <c r="AB141" s="102"/>
      <c r="AC141" s="102"/>
      <c r="AD141" s="19"/>
      <c r="AE141" s="19"/>
      <c r="AF141" s="19"/>
      <c r="AG141" s="102"/>
      <c r="AH141" s="102"/>
      <c r="AI141" s="102"/>
      <c r="AJ141" s="102"/>
      <c r="AK141" s="102"/>
      <c r="AL141" s="102"/>
      <c r="AM141" s="102"/>
      <c r="AN141" s="102"/>
      <c r="AO141" s="102"/>
      <c r="AP141" s="102"/>
      <c r="AQ141" s="102"/>
      <c r="AR141" s="102"/>
      <c r="AS141" s="102"/>
    </row>
    <row r="142" spans="3:45" s="4" customFormat="1" ht="20.100000000000001" customHeight="1" x14ac:dyDescent="0.25"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3"/>
      <c r="R142" s="58"/>
      <c r="S142" s="103"/>
      <c r="T142" s="102"/>
      <c r="U142" s="103"/>
      <c r="V142" s="102"/>
      <c r="W142" s="103"/>
      <c r="X142" s="102"/>
      <c r="Y142" s="102"/>
      <c r="Z142" s="102"/>
      <c r="AA142" s="102"/>
      <c r="AB142" s="102"/>
      <c r="AC142" s="102"/>
      <c r="AD142" s="19"/>
      <c r="AE142" s="19"/>
      <c r="AF142" s="19"/>
      <c r="AG142" s="102"/>
      <c r="AH142" s="102"/>
      <c r="AI142" s="102"/>
      <c r="AJ142" s="102"/>
      <c r="AK142" s="102"/>
      <c r="AL142" s="102"/>
      <c r="AM142" s="102"/>
      <c r="AN142" s="102"/>
      <c r="AO142" s="102"/>
      <c r="AP142" s="102"/>
      <c r="AQ142" s="102"/>
      <c r="AR142" s="102"/>
      <c r="AS142" s="102"/>
    </row>
    <row r="143" spans="3:45" s="4" customFormat="1" ht="20.100000000000001" customHeight="1" x14ac:dyDescent="0.25">
      <c r="C143" s="103"/>
      <c r="D143" s="102"/>
      <c r="E143" s="103"/>
      <c r="F143" s="103"/>
      <c r="G143" s="103"/>
      <c r="H143" s="102"/>
      <c r="I143" s="103"/>
      <c r="J143" s="102"/>
      <c r="K143" s="102"/>
      <c r="L143" s="102"/>
      <c r="M143" s="102"/>
      <c r="N143" s="102"/>
      <c r="O143" s="102"/>
      <c r="P143" s="102"/>
      <c r="Q143" s="103"/>
      <c r="R143" s="58"/>
      <c r="S143" s="103"/>
      <c r="T143" s="102"/>
      <c r="U143" s="103"/>
      <c r="V143" s="102"/>
      <c r="W143" s="103"/>
      <c r="X143" s="102"/>
      <c r="Y143" s="102"/>
      <c r="Z143" s="102"/>
      <c r="AA143" s="103"/>
      <c r="AB143" s="103"/>
      <c r="AC143" s="103"/>
      <c r="AD143" s="19"/>
      <c r="AE143" s="19"/>
      <c r="AF143" s="19"/>
      <c r="AG143" s="102"/>
      <c r="AH143" s="102"/>
      <c r="AI143" s="102"/>
      <c r="AJ143" s="102"/>
      <c r="AK143" s="102"/>
      <c r="AL143" s="102"/>
      <c r="AM143" s="102"/>
      <c r="AN143" s="102"/>
      <c r="AO143" s="102"/>
      <c r="AP143" s="102"/>
      <c r="AQ143" s="102"/>
      <c r="AR143" s="102"/>
      <c r="AS143" s="102"/>
    </row>
    <row r="144" spans="3:45" s="4" customFormat="1" ht="20.100000000000001" customHeight="1" x14ac:dyDescent="0.25">
      <c r="C144" s="103"/>
      <c r="D144" s="102"/>
      <c r="E144" s="103"/>
      <c r="F144" s="103"/>
      <c r="G144" s="103"/>
      <c r="H144" s="102"/>
      <c r="I144" s="103"/>
      <c r="J144" s="102"/>
      <c r="K144" s="103"/>
      <c r="L144" s="102"/>
      <c r="M144" s="102"/>
      <c r="N144" s="103"/>
      <c r="O144" s="102"/>
      <c r="P144" s="102"/>
      <c r="Q144" s="103"/>
      <c r="R144" s="58"/>
      <c r="S144" s="103"/>
      <c r="T144" s="102"/>
      <c r="U144" s="103"/>
      <c r="V144" s="102"/>
      <c r="W144" s="103"/>
      <c r="X144" s="102"/>
      <c r="Y144" s="103"/>
      <c r="Z144" s="103"/>
      <c r="AA144" s="103"/>
      <c r="AB144" s="103"/>
      <c r="AC144" s="103"/>
      <c r="AD144" s="19"/>
      <c r="AE144" s="19"/>
      <c r="AF144" s="19"/>
      <c r="AG144" s="102"/>
      <c r="AH144" s="102"/>
      <c r="AI144" s="102"/>
      <c r="AJ144" s="102"/>
      <c r="AK144" s="102"/>
      <c r="AL144" s="102"/>
      <c r="AM144" s="102"/>
      <c r="AN144" s="102"/>
      <c r="AO144" s="102"/>
      <c r="AP144" s="102"/>
      <c r="AQ144" s="102"/>
      <c r="AR144" s="102"/>
      <c r="AS144" s="102"/>
    </row>
    <row r="145" spans="3:45" s="4" customFormat="1" ht="20.100000000000001" customHeight="1" x14ac:dyDescent="0.25">
      <c r="C145" s="103"/>
      <c r="D145" s="102"/>
      <c r="E145" s="103"/>
      <c r="F145" s="103"/>
      <c r="G145" s="103"/>
      <c r="H145" s="102"/>
      <c r="I145" s="103"/>
      <c r="J145" s="102"/>
      <c r="K145" s="103"/>
      <c r="L145" s="102"/>
      <c r="M145" s="102"/>
      <c r="N145" s="103"/>
      <c r="O145" s="102"/>
      <c r="P145" s="102"/>
      <c r="Q145" s="103"/>
      <c r="R145" s="58"/>
      <c r="S145" s="103"/>
      <c r="T145" s="102"/>
      <c r="U145" s="103"/>
      <c r="V145" s="102"/>
      <c r="W145" s="103"/>
      <c r="X145" s="102"/>
      <c r="Y145" s="103"/>
      <c r="Z145" s="103"/>
      <c r="AA145" s="103"/>
      <c r="AB145" s="103"/>
      <c r="AC145" s="103"/>
      <c r="AD145" s="19"/>
      <c r="AE145" s="19"/>
      <c r="AF145" s="19"/>
      <c r="AG145" s="102"/>
      <c r="AH145" s="102"/>
      <c r="AI145" s="102"/>
      <c r="AJ145" s="102"/>
      <c r="AK145" s="102"/>
      <c r="AL145" s="102"/>
      <c r="AM145" s="102"/>
      <c r="AN145" s="102"/>
      <c r="AO145" s="102"/>
      <c r="AP145" s="102"/>
      <c r="AQ145" s="102"/>
      <c r="AR145" s="102"/>
      <c r="AS145" s="102"/>
    </row>
    <row r="146" spans="3:45" s="4" customFormat="1" ht="20.100000000000001" customHeight="1" x14ac:dyDescent="0.25">
      <c r="C146" s="103"/>
      <c r="D146" s="102"/>
      <c r="E146" s="103"/>
      <c r="F146" s="103"/>
      <c r="G146" s="103"/>
      <c r="H146" s="102"/>
      <c r="I146" s="103"/>
      <c r="J146" s="102"/>
      <c r="K146" s="103"/>
      <c r="L146" s="102"/>
      <c r="M146" s="103"/>
      <c r="N146" s="103"/>
      <c r="O146" s="103"/>
      <c r="P146" s="102"/>
      <c r="Q146" s="103"/>
      <c r="R146" s="58"/>
      <c r="S146" s="103"/>
      <c r="T146" s="102"/>
      <c r="U146" s="103"/>
      <c r="V146" s="102"/>
      <c r="W146" s="103"/>
      <c r="X146" s="102"/>
      <c r="Y146" s="103"/>
      <c r="Z146" s="103"/>
      <c r="AA146" s="103"/>
      <c r="AB146" s="103"/>
      <c r="AC146" s="103"/>
      <c r="AD146" s="19"/>
      <c r="AE146" s="19"/>
      <c r="AF146" s="19"/>
      <c r="AG146" s="102"/>
      <c r="AH146" s="102"/>
      <c r="AI146" s="102"/>
      <c r="AJ146" s="102"/>
      <c r="AK146" s="102"/>
      <c r="AL146" s="102"/>
      <c r="AM146" s="102"/>
      <c r="AN146" s="102"/>
      <c r="AO146" s="102"/>
      <c r="AP146" s="102"/>
      <c r="AQ146" s="102"/>
      <c r="AR146" s="102"/>
      <c r="AS146" s="102"/>
    </row>
    <row r="147" spans="3:45" s="4" customFormat="1" ht="20.100000000000001" customHeight="1" x14ac:dyDescent="0.25">
      <c r="C147" s="103"/>
      <c r="D147" s="102"/>
      <c r="E147" s="103"/>
      <c r="F147" s="103"/>
      <c r="G147" s="103"/>
      <c r="H147" s="102"/>
      <c r="I147" s="103"/>
      <c r="J147" s="102"/>
      <c r="K147" s="103"/>
      <c r="L147" s="102"/>
      <c r="M147" s="103"/>
      <c r="N147" s="103"/>
      <c r="O147" s="103"/>
      <c r="P147" s="102"/>
      <c r="Q147" s="103"/>
      <c r="R147" s="58"/>
      <c r="S147" s="103"/>
      <c r="T147" s="102"/>
      <c r="U147" s="103"/>
      <c r="V147" s="102"/>
      <c r="W147" s="103"/>
      <c r="X147" s="102"/>
      <c r="Y147" s="103"/>
      <c r="Z147" s="103"/>
      <c r="AA147" s="103"/>
      <c r="AB147" s="103"/>
      <c r="AC147" s="103"/>
      <c r="AD147" s="19"/>
      <c r="AE147" s="19"/>
      <c r="AF147" s="19"/>
      <c r="AG147" s="102"/>
      <c r="AH147" s="102"/>
      <c r="AI147" s="102"/>
      <c r="AJ147" s="102"/>
      <c r="AK147" s="102"/>
      <c r="AL147" s="102"/>
      <c r="AM147" s="102"/>
      <c r="AN147" s="102"/>
      <c r="AO147" s="102"/>
      <c r="AP147" s="102"/>
      <c r="AQ147" s="102"/>
      <c r="AR147" s="102"/>
      <c r="AS147" s="102"/>
    </row>
    <row r="148" spans="3:45" s="4" customFormat="1" ht="20.100000000000001" customHeight="1" x14ac:dyDescent="0.25">
      <c r="C148" s="103"/>
      <c r="D148" s="102"/>
      <c r="E148" s="103"/>
      <c r="F148" s="103"/>
      <c r="G148" s="103"/>
      <c r="H148" s="102"/>
      <c r="I148" s="103"/>
      <c r="J148" s="102"/>
      <c r="K148" s="103"/>
      <c r="L148" s="102"/>
      <c r="M148" s="103"/>
      <c r="N148" s="103"/>
      <c r="O148" s="103"/>
      <c r="P148" s="102"/>
      <c r="Q148" s="103"/>
      <c r="R148" s="58"/>
      <c r="S148" s="103"/>
      <c r="T148" s="102"/>
      <c r="U148" s="103"/>
      <c r="V148" s="102"/>
      <c r="W148" s="103"/>
      <c r="X148" s="102"/>
      <c r="Y148" s="103"/>
      <c r="Z148" s="103"/>
      <c r="AA148" s="103"/>
      <c r="AB148" s="103"/>
      <c r="AC148" s="103"/>
      <c r="AD148" s="19"/>
      <c r="AE148" s="19"/>
      <c r="AF148" s="19"/>
      <c r="AG148" s="102"/>
      <c r="AH148" s="102"/>
      <c r="AI148" s="102"/>
      <c r="AJ148" s="102"/>
      <c r="AK148" s="102"/>
      <c r="AL148" s="102"/>
      <c r="AM148" s="102"/>
      <c r="AN148" s="102"/>
      <c r="AO148" s="102"/>
      <c r="AP148" s="102"/>
      <c r="AQ148" s="102"/>
      <c r="AR148" s="102"/>
      <c r="AS148" s="102"/>
    </row>
    <row r="149" spans="3:45" s="4" customFormat="1" ht="20.100000000000001" customHeight="1" x14ac:dyDescent="0.25">
      <c r="C149" s="103"/>
      <c r="D149" s="102"/>
      <c r="E149" s="103"/>
      <c r="F149" s="103"/>
      <c r="G149" s="103"/>
      <c r="H149" s="102"/>
      <c r="I149" s="103"/>
      <c r="J149" s="103"/>
      <c r="K149" s="103"/>
      <c r="L149" s="102"/>
      <c r="M149" s="103"/>
      <c r="N149" s="103"/>
      <c r="O149" s="103"/>
      <c r="P149" s="102"/>
      <c r="Q149" s="103"/>
      <c r="R149" s="58"/>
      <c r="S149" s="103"/>
      <c r="T149" s="102"/>
      <c r="U149" s="103"/>
      <c r="V149" s="102"/>
      <c r="W149" s="103"/>
      <c r="X149" s="102"/>
      <c r="Y149" s="103"/>
      <c r="Z149" s="103"/>
      <c r="AA149" s="103"/>
      <c r="AB149" s="103"/>
      <c r="AC149" s="103"/>
      <c r="AD149" s="19"/>
      <c r="AE149" s="19"/>
      <c r="AF149" s="19"/>
      <c r="AG149" s="102"/>
      <c r="AH149" s="102"/>
      <c r="AI149" s="102"/>
      <c r="AJ149" s="102"/>
      <c r="AK149" s="102"/>
      <c r="AL149" s="102"/>
      <c r="AM149" s="102"/>
      <c r="AN149" s="102"/>
      <c r="AO149" s="102"/>
      <c r="AP149" s="102"/>
      <c r="AQ149" s="102"/>
      <c r="AR149" s="102"/>
      <c r="AS149" s="102"/>
    </row>
    <row r="150" spans="3:45" ht="20.100000000000001" customHeight="1" x14ac:dyDescent="0.25">
      <c r="C150" s="103"/>
      <c r="D150" s="102"/>
      <c r="E150" s="103"/>
      <c r="F150" s="103"/>
      <c r="G150" s="103"/>
      <c r="H150" s="102"/>
      <c r="I150" s="103"/>
      <c r="J150" s="103"/>
      <c r="K150" s="103"/>
      <c r="L150" s="102"/>
      <c r="M150" s="103"/>
      <c r="N150" s="103"/>
      <c r="O150" s="103"/>
      <c r="P150" s="102"/>
      <c r="Q150" s="103"/>
      <c r="R150" s="58"/>
      <c r="S150" s="103"/>
      <c r="T150" s="102"/>
      <c r="U150" s="103"/>
      <c r="V150" s="102"/>
      <c r="W150" s="103"/>
      <c r="X150" s="102"/>
      <c r="Y150" s="103"/>
      <c r="Z150" s="103"/>
      <c r="AA150" s="103"/>
      <c r="AB150" s="103"/>
      <c r="AC150" s="103"/>
      <c r="AD150" s="19"/>
      <c r="AE150" s="19"/>
      <c r="AF150" s="19"/>
      <c r="AG150" s="103"/>
      <c r="AH150" s="102"/>
      <c r="AI150" s="102"/>
      <c r="AJ150" s="103"/>
      <c r="AK150" s="103"/>
      <c r="AL150" s="103"/>
      <c r="AM150" s="103"/>
      <c r="AN150" s="103"/>
      <c r="AO150" s="103"/>
      <c r="AP150" s="103"/>
      <c r="AQ150" s="103"/>
      <c r="AR150" s="103"/>
      <c r="AS150" s="103"/>
    </row>
    <row r="151" spans="3:45" ht="20.100000000000001" customHeight="1" x14ac:dyDescent="0.25">
      <c r="C151" s="103"/>
      <c r="D151" s="102"/>
      <c r="E151" s="103"/>
      <c r="F151" s="103"/>
      <c r="G151" s="103"/>
      <c r="H151" s="102"/>
      <c r="I151" s="103"/>
      <c r="J151" s="103"/>
      <c r="K151" s="103"/>
      <c r="L151" s="102"/>
      <c r="M151" s="103"/>
      <c r="N151" s="103"/>
      <c r="O151" s="103"/>
      <c r="P151" s="102"/>
      <c r="Q151" s="103"/>
      <c r="R151" s="58"/>
      <c r="S151" s="103"/>
      <c r="T151" s="102"/>
      <c r="U151" s="103"/>
      <c r="V151" s="102"/>
      <c r="W151" s="103"/>
      <c r="X151" s="102"/>
      <c r="Y151" s="103"/>
      <c r="Z151" s="103"/>
      <c r="AA151" s="103"/>
      <c r="AB151" s="103"/>
      <c r="AC151" s="103"/>
      <c r="AD151" s="19"/>
      <c r="AE151" s="19"/>
      <c r="AF151" s="19"/>
      <c r="AG151" s="103"/>
      <c r="AH151" s="102"/>
      <c r="AI151" s="102"/>
      <c r="AJ151" s="103"/>
      <c r="AK151" s="103"/>
      <c r="AL151" s="103"/>
      <c r="AM151" s="103"/>
      <c r="AN151" s="103"/>
      <c r="AO151" s="103"/>
      <c r="AP151" s="103"/>
      <c r="AQ151" s="103"/>
      <c r="AR151" s="103"/>
      <c r="AS151" s="103"/>
    </row>
    <row r="152" spans="3:45" ht="20.100000000000001" customHeight="1" x14ac:dyDescent="0.25">
      <c r="C152" s="103"/>
      <c r="D152" s="102"/>
      <c r="E152" s="103"/>
      <c r="F152" s="103"/>
      <c r="G152" s="103"/>
      <c r="H152" s="102"/>
      <c r="I152" s="103"/>
      <c r="J152" s="103"/>
      <c r="K152" s="103"/>
      <c r="L152" s="102"/>
      <c r="M152" s="103"/>
      <c r="N152" s="103"/>
      <c r="O152" s="103"/>
      <c r="P152" s="102"/>
      <c r="Q152" s="103"/>
      <c r="R152" s="58"/>
      <c r="S152" s="103"/>
      <c r="T152" s="102"/>
      <c r="U152" s="103"/>
      <c r="V152" s="102"/>
      <c r="W152" s="103"/>
      <c r="X152" s="102"/>
      <c r="Y152" s="103"/>
      <c r="Z152" s="103"/>
      <c r="AA152" s="103"/>
      <c r="AB152" s="103"/>
      <c r="AC152" s="103"/>
      <c r="AD152" s="19"/>
      <c r="AE152" s="19"/>
      <c r="AF152" s="19"/>
      <c r="AG152" s="103"/>
      <c r="AH152" s="102"/>
      <c r="AI152" s="102"/>
      <c r="AJ152" s="103"/>
      <c r="AK152" s="103"/>
      <c r="AL152" s="103"/>
      <c r="AM152" s="103"/>
      <c r="AN152" s="103"/>
      <c r="AO152" s="103"/>
      <c r="AP152" s="103"/>
      <c r="AQ152" s="103"/>
      <c r="AR152" s="103"/>
      <c r="AS152" s="103"/>
    </row>
    <row r="153" spans="3:45" ht="20.100000000000001" customHeight="1" x14ac:dyDescent="0.25">
      <c r="C153" s="103"/>
      <c r="D153" s="102"/>
      <c r="E153" s="103"/>
      <c r="F153" s="103"/>
      <c r="G153" s="103"/>
      <c r="H153" s="102"/>
      <c r="I153" s="103"/>
      <c r="J153" s="103"/>
      <c r="K153" s="103"/>
      <c r="L153" s="102"/>
      <c r="M153" s="103"/>
      <c r="N153" s="103"/>
      <c r="O153" s="103"/>
      <c r="P153" s="102"/>
      <c r="Q153" s="103"/>
      <c r="R153" s="58"/>
      <c r="S153" s="103"/>
      <c r="T153" s="102"/>
      <c r="U153" s="103"/>
      <c r="V153" s="102"/>
      <c r="W153" s="103"/>
      <c r="X153" s="102"/>
      <c r="Y153" s="103"/>
      <c r="Z153" s="103"/>
      <c r="AA153" s="103"/>
      <c r="AB153" s="103"/>
      <c r="AC153" s="103"/>
      <c r="AD153" s="19"/>
      <c r="AE153" s="19"/>
      <c r="AF153" s="19"/>
      <c r="AG153" s="103"/>
      <c r="AH153" s="102"/>
      <c r="AI153" s="102"/>
      <c r="AJ153" s="103"/>
      <c r="AK153" s="103"/>
      <c r="AL153" s="103"/>
      <c r="AM153" s="103"/>
      <c r="AN153" s="103"/>
      <c r="AO153" s="103"/>
      <c r="AP153" s="103"/>
      <c r="AQ153" s="103"/>
      <c r="AR153" s="103"/>
      <c r="AS153" s="103"/>
    </row>
    <row r="154" spans="3:45" ht="20.100000000000001" customHeight="1" x14ac:dyDescent="0.25">
      <c r="C154" s="103"/>
      <c r="D154" s="102"/>
      <c r="E154" s="103"/>
      <c r="F154" s="103"/>
      <c r="G154" s="103"/>
      <c r="H154" s="102"/>
      <c r="I154" s="103"/>
      <c r="J154" s="103"/>
      <c r="K154" s="103"/>
      <c r="L154" s="102"/>
      <c r="M154" s="103"/>
      <c r="N154" s="103"/>
      <c r="O154" s="103"/>
      <c r="P154" s="102"/>
      <c r="Q154" s="103"/>
      <c r="R154" s="58"/>
      <c r="S154" s="103"/>
      <c r="T154" s="102"/>
      <c r="U154" s="103"/>
      <c r="V154" s="102"/>
      <c r="W154" s="103"/>
      <c r="X154" s="102"/>
      <c r="Y154" s="103"/>
      <c r="Z154" s="103"/>
      <c r="AA154" s="103"/>
      <c r="AB154" s="103"/>
      <c r="AC154" s="103"/>
      <c r="AD154" s="19"/>
      <c r="AE154" s="19"/>
      <c r="AF154" s="19"/>
      <c r="AG154" s="103"/>
      <c r="AH154" s="102"/>
      <c r="AI154" s="102"/>
      <c r="AJ154" s="103"/>
      <c r="AK154" s="103"/>
      <c r="AL154" s="103"/>
      <c r="AM154" s="103"/>
      <c r="AN154" s="103"/>
      <c r="AO154" s="103"/>
      <c r="AP154" s="103"/>
      <c r="AQ154" s="103"/>
      <c r="AR154" s="103"/>
      <c r="AS154" s="103"/>
    </row>
    <row r="155" spans="3:45" ht="20.100000000000001" customHeight="1" x14ac:dyDescent="0.25">
      <c r="C155" s="103"/>
      <c r="D155" s="102"/>
      <c r="E155" s="103"/>
      <c r="F155" s="103"/>
      <c r="G155" s="103"/>
      <c r="H155" s="102"/>
      <c r="I155" s="103"/>
      <c r="J155" s="103"/>
      <c r="K155" s="103"/>
      <c r="L155" s="102"/>
      <c r="M155" s="103"/>
      <c r="N155" s="103"/>
      <c r="O155" s="103"/>
      <c r="P155" s="102"/>
      <c r="Q155" s="103"/>
      <c r="R155" s="58"/>
      <c r="S155" s="103"/>
      <c r="T155" s="102"/>
      <c r="U155" s="103"/>
      <c r="V155" s="102"/>
      <c r="W155" s="103"/>
      <c r="X155" s="102"/>
      <c r="Y155" s="103"/>
      <c r="Z155" s="103"/>
      <c r="AA155" s="103"/>
      <c r="AB155" s="103"/>
      <c r="AC155" s="103"/>
      <c r="AD155" s="19"/>
      <c r="AE155" s="19"/>
      <c r="AF155" s="19"/>
      <c r="AG155" s="103"/>
      <c r="AH155" s="102"/>
      <c r="AI155" s="102"/>
      <c r="AJ155" s="103"/>
      <c r="AK155" s="103"/>
      <c r="AL155" s="103"/>
      <c r="AM155" s="103"/>
      <c r="AN155" s="103"/>
      <c r="AO155" s="103"/>
      <c r="AP155" s="103"/>
      <c r="AQ155" s="103"/>
      <c r="AR155" s="103"/>
      <c r="AS155" s="103"/>
    </row>
    <row r="156" spans="3:45" ht="20.100000000000001" customHeight="1" x14ac:dyDescent="0.25">
      <c r="C156" s="103"/>
      <c r="D156" s="102"/>
      <c r="E156" s="103"/>
      <c r="F156" s="103"/>
      <c r="G156" s="103"/>
      <c r="H156" s="102"/>
      <c r="I156" s="103"/>
      <c r="J156" s="103"/>
      <c r="K156" s="103"/>
      <c r="L156" s="102"/>
      <c r="M156" s="103"/>
      <c r="N156" s="103"/>
      <c r="O156" s="103"/>
      <c r="P156" s="102"/>
      <c r="Q156" s="103"/>
      <c r="R156" s="58"/>
      <c r="S156" s="103"/>
      <c r="T156" s="102"/>
      <c r="U156" s="103"/>
      <c r="V156" s="102"/>
      <c r="W156" s="103"/>
      <c r="X156" s="102"/>
      <c r="Y156" s="103"/>
      <c r="Z156" s="103"/>
      <c r="AA156" s="103"/>
      <c r="AB156" s="103"/>
      <c r="AC156" s="103"/>
      <c r="AD156" s="19"/>
      <c r="AE156" s="19"/>
      <c r="AF156" s="19"/>
      <c r="AG156" s="103"/>
      <c r="AH156" s="102"/>
      <c r="AI156" s="102"/>
      <c r="AJ156" s="103"/>
      <c r="AK156" s="103"/>
      <c r="AL156" s="103"/>
      <c r="AM156" s="103"/>
      <c r="AN156" s="103"/>
      <c r="AO156" s="103"/>
      <c r="AP156" s="103"/>
      <c r="AQ156" s="103"/>
      <c r="AR156" s="103"/>
      <c r="AS156" s="103"/>
    </row>
    <row r="157" spans="3:45" ht="20.100000000000001" customHeight="1" x14ac:dyDescent="0.25">
      <c r="C157" s="103"/>
      <c r="D157" s="102"/>
      <c r="E157" s="103"/>
      <c r="F157" s="103"/>
      <c r="G157" s="103"/>
      <c r="H157" s="102"/>
      <c r="I157" s="103"/>
      <c r="J157" s="103"/>
      <c r="K157" s="103"/>
      <c r="L157" s="102"/>
      <c r="M157" s="103"/>
      <c r="N157" s="103"/>
      <c r="O157" s="103"/>
      <c r="P157" s="102"/>
      <c r="Q157" s="103"/>
      <c r="R157" s="58"/>
      <c r="S157" s="103"/>
      <c r="T157" s="102"/>
      <c r="U157" s="103"/>
      <c r="V157" s="102"/>
      <c r="W157" s="103"/>
      <c r="X157" s="102"/>
      <c r="Y157" s="103"/>
      <c r="Z157" s="103"/>
      <c r="AA157" s="103"/>
      <c r="AB157" s="103"/>
      <c r="AC157" s="103"/>
      <c r="AD157" s="19"/>
      <c r="AE157" s="19"/>
      <c r="AF157" s="19"/>
      <c r="AG157" s="103"/>
      <c r="AH157" s="102"/>
      <c r="AI157" s="102"/>
      <c r="AJ157" s="103"/>
      <c r="AK157" s="103"/>
      <c r="AL157" s="103"/>
      <c r="AM157" s="103"/>
      <c r="AN157" s="103"/>
      <c r="AO157" s="103"/>
      <c r="AP157" s="103"/>
      <c r="AQ157" s="103"/>
      <c r="AR157" s="103"/>
      <c r="AS157" s="103"/>
    </row>
    <row r="158" spans="3:45" ht="20.100000000000001" customHeight="1" x14ac:dyDescent="0.25">
      <c r="C158" s="103"/>
      <c r="D158" s="102"/>
      <c r="E158" s="103"/>
      <c r="F158" s="103"/>
      <c r="G158" s="103"/>
      <c r="H158" s="102"/>
      <c r="I158" s="103"/>
      <c r="J158" s="103"/>
      <c r="K158" s="103"/>
      <c r="L158" s="102"/>
      <c r="M158" s="103"/>
      <c r="N158" s="103"/>
      <c r="O158" s="103"/>
      <c r="P158" s="102"/>
      <c r="Q158" s="103"/>
      <c r="R158" s="58"/>
      <c r="S158" s="103"/>
      <c r="T158" s="102"/>
      <c r="U158" s="103"/>
      <c r="V158" s="102"/>
      <c r="W158" s="103"/>
      <c r="X158" s="102"/>
      <c r="Y158" s="103"/>
      <c r="Z158" s="103"/>
      <c r="AA158" s="103"/>
      <c r="AB158" s="103"/>
      <c r="AC158" s="103"/>
      <c r="AD158" s="19"/>
      <c r="AE158" s="19"/>
      <c r="AF158" s="19"/>
      <c r="AG158" s="103"/>
      <c r="AH158" s="102"/>
      <c r="AI158" s="102"/>
      <c r="AJ158" s="103"/>
      <c r="AK158" s="103"/>
      <c r="AL158" s="103"/>
      <c r="AM158" s="103"/>
      <c r="AN158" s="103"/>
      <c r="AO158" s="103"/>
      <c r="AP158" s="103"/>
      <c r="AQ158" s="103"/>
      <c r="AR158" s="103"/>
      <c r="AS158" s="103"/>
    </row>
    <row r="159" spans="3:45" ht="20.100000000000001" customHeight="1" x14ac:dyDescent="0.25">
      <c r="C159" s="103"/>
      <c r="D159" s="102"/>
      <c r="E159" s="103"/>
      <c r="F159" s="103"/>
      <c r="G159" s="103"/>
      <c r="H159" s="102"/>
      <c r="I159" s="103"/>
      <c r="J159" s="103"/>
      <c r="K159" s="103"/>
      <c r="L159" s="102"/>
      <c r="M159" s="103"/>
      <c r="N159" s="103"/>
      <c r="O159" s="103"/>
      <c r="P159" s="102"/>
      <c r="Q159" s="103"/>
      <c r="R159" s="58"/>
      <c r="S159" s="103"/>
      <c r="T159" s="102"/>
      <c r="U159" s="103"/>
      <c r="V159" s="102"/>
      <c r="W159" s="103"/>
      <c r="X159" s="102"/>
      <c r="Y159" s="103"/>
      <c r="Z159" s="103"/>
      <c r="AA159" s="103"/>
      <c r="AB159" s="103"/>
      <c r="AC159" s="103"/>
      <c r="AD159" s="19"/>
      <c r="AE159" s="19"/>
      <c r="AF159" s="19"/>
      <c r="AG159" s="103"/>
      <c r="AH159" s="102"/>
      <c r="AI159" s="102"/>
      <c r="AJ159" s="103"/>
      <c r="AK159" s="103"/>
      <c r="AL159" s="103"/>
      <c r="AM159" s="103"/>
      <c r="AN159" s="103"/>
      <c r="AO159" s="103"/>
      <c r="AP159" s="103"/>
      <c r="AQ159" s="103"/>
      <c r="AR159" s="103"/>
      <c r="AS159" s="103"/>
    </row>
    <row r="160" spans="3:45" ht="20.100000000000001" customHeight="1" x14ac:dyDescent="0.25">
      <c r="C160" s="103"/>
      <c r="D160" s="102"/>
      <c r="E160" s="103"/>
      <c r="F160" s="103"/>
      <c r="G160" s="103"/>
      <c r="H160" s="102"/>
      <c r="I160" s="103"/>
      <c r="J160" s="103"/>
      <c r="K160" s="103"/>
      <c r="L160" s="102"/>
      <c r="M160" s="103"/>
      <c r="N160" s="103"/>
      <c r="O160" s="103"/>
      <c r="P160" s="102"/>
      <c r="Q160" s="103"/>
      <c r="R160" s="58"/>
      <c r="S160" s="103"/>
      <c r="T160" s="102"/>
      <c r="U160" s="103"/>
      <c r="V160" s="102"/>
      <c r="W160" s="103"/>
      <c r="X160" s="102"/>
      <c r="Y160" s="103"/>
      <c r="Z160" s="103"/>
      <c r="AA160" s="103"/>
      <c r="AB160" s="103"/>
      <c r="AC160" s="103"/>
      <c r="AD160" s="19"/>
      <c r="AE160" s="19"/>
      <c r="AF160" s="19"/>
      <c r="AG160" s="103"/>
      <c r="AH160" s="102"/>
      <c r="AI160" s="102"/>
      <c r="AJ160" s="103"/>
      <c r="AK160" s="103"/>
      <c r="AL160" s="103"/>
      <c r="AM160" s="103"/>
      <c r="AN160" s="103"/>
      <c r="AO160" s="103"/>
      <c r="AP160" s="103"/>
      <c r="AQ160" s="103"/>
      <c r="AR160" s="103"/>
      <c r="AS160" s="103"/>
    </row>
    <row r="161" spans="3:45" ht="20.100000000000001" customHeight="1" x14ac:dyDescent="0.25">
      <c r="C161" s="103"/>
      <c r="D161" s="102"/>
      <c r="E161" s="103"/>
      <c r="F161" s="103"/>
      <c r="G161" s="103"/>
      <c r="H161" s="102"/>
      <c r="I161" s="103"/>
      <c r="J161" s="103"/>
      <c r="K161" s="103"/>
      <c r="L161" s="102"/>
      <c r="M161" s="103"/>
      <c r="N161" s="103"/>
      <c r="O161" s="103"/>
      <c r="P161" s="102"/>
      <c r="Q161" s="103"/>
      <c r="R161" s="58"/>
      <c r="S161" s="103"/>
      <c r="T161" s="102"/>
      <c r="U161" s="103"/>
      <c r="V161" s="102"/>
      <c r="W161" s="103"/>
      <c r="X161" s="102"/>
      <c r="Y161" s="103"/>
      <c r="Z161" s="103"/>
      <c r="AA161" s="103"/>
      <c r="AB161" s="103"/>
      <c r="AC161" s="103"/>
      <c r="AD161" s="19"/>
      <c r="AE161" s="19"/>
      <c r="AF161" s="19"/>
      <c r="AG161" s="103"/>
      <c r="AH161" s="102"/>
      <c r="AI161" s="102"/>
      <c r="AJ161" s="103"/>
      <c r="AK161" s="103"/>
      <c r="AL161" s="103"/>
      <c r="AM161" s="103"/>
      <c r="AN161" s="103"/>
      <c r="AO161" s="103"/>
      <c r="AP161" s="103"/>
      <c r="AQ161" s="103"/>
      <c r="AR161" s="103"/>
      <c r="AS161" s="103"/>
    </row>
    <row r="162" spans="3:45" ht="20.100000000000001" customHeight="1" x14ac:dyDescent="0.25">
      <c r="C162" s="103"/>
      <c r="D162" s="102"/>
      <c r="E162" s="103"/>
      <c r="F162" s="103"/>
      <c r="G162" s="103"/>
      <c r="H162" s="102"/>
      <c r="I162" s="103"/>
      <c r="J162" s="103"/>
      <c r="K162" s="103"/>
      <c r="L162" s="102"/>
      <c r="M162" s="103"/>
      <c r="N162" s="103"/>
      <c r="O162" s="103"/>
      <c r="P162" s="102"/>
      <c r="Q162" s="103"/>
      <c r="R162" s="58"/>
      <c r="S162" s="103"/>
      <c r="T162" s="102"/>
      <c r="U162" s="103"/>
      <c r="V162" s="102"/>
      <c r="W162" s="103"/>
      <c r="X162" s="102"/>
      <c r="Y162" s="103"/>
      <c r="Z162" s="103"/>
      <c r="AA162" s="103"/>
      <c r="AB162" s="103"/>
      <c r="AC162" s="103"/>
      <c r="AD162" s="19"/>
      <c r="AE162" s="19"/>
      <c r="AF162" s="19"/>
      <c r="AG162" s="103"/>
      <c r="AH162" s="102"/>
      <c r="AI162" s="102"/>
      <c r="AJ162" s="103"/>
      <c r="AK162" s="103"/>
      <c r="AL162" s="103"/>
      <c r="AM162" s="103"/>
      <c r="AN162" s="103"/>
      <c r="AO162" s="103"/>
      <c r="AP162" s="103"/>
      <c r="AQ162" s="103"/>
      <c r="AR162" s="103"/>
      <c r="AS162" s="103"/>
    </row>
    <row r="163" spans="3:45" ht="20.100000000000001" customHeight="1" x14ac:dyDescent="0.25">
      <c r="C163" s="103"/>
      <c r="D163" s="102"/>
      <c r="E163" s="103"/>
      <c r="F163" s="103"/>
      <c r="G163" s="103"/>
      <c r="H163" s="102"/>
      <c r="I163" s="103"/>
      <c r="J163" s="103"/>
      <c r="K163" s="103"/>
      <c r="L163" s="102"/>
      <c r="M163" s="103"/>
      <c r="N163" s="103"/>
      <c r="O163" s="103"/>
      <c r="P163" s="102"/>
      <c r="Q163" s="103"/>
      <c r="R163" s="58"/>
      <c r="S163" s="103"/>
      <c r="T163" s="102"/>
      <c r="U163" s="103"/>
      <c r="V163" s="102"/>
      <c r="W163" s="103"/>
      <c r="X163" s="102"/>
      <c r="Y163" s="103"/>
      <c r="Z163" s="103"/>
      <c r="AA163" s="103"/>
      <c r="AB163" s="103"/>
      <c r="AC163" s="103"/>
      <c r="AD163" s="19"/>
      <c r="AE163" s="19"/>
      <c r="AF163" s="19"/>
      <c r="AG163" s="103"/>
      <c r="AH163" s="102"/>
      <c r="AI163" s="102"/>
      <c r="AJ163" s="103"/>
      <c r="AK163" s="103"/>
      <c r="AL163" s="103"/>
      <c r="AM163" s="103"/>
      <c r="AN163" s="103"/>
      <c r="AO163" s="103"/>
      <c r="AP163" s="103"/>
      <c r="AQ163" s="103"/>
      <c r="AR163" s="103"/>
      <c r="AS163" s="103"/>
    </row>
    <row r="164" spans="3:45" ht="20.100000000000001" customHeight="1" x14ac:dyDescent="0.25">
      <c r="C164" s="103"/>
      <c r="D164" s="102"/>
      <c r="E164" s="103"/>
      <c r="F164" s="103"/>
      <c r="G164" s="103"/>
      <c r="H164" s="102"/>
      <c r="I164" s="103"/>
      <c r="J164" s="103"/>
      <c r="K164" s="103"/>
      <c r="L164" s="102"/>
      <c r="M164" s="103"/>
      <c r="N164" s="103"/>
      <c r="O164" s="103"/>
      <c r="P164" s="102"/>
      <c r="Q164" s="103"/>
      <c r="R164" s="58"/>
      <c r="S164" s="103"/>
      <c r="T164" s="102"/>
      <c r="U164" s="103"/>
      <c r="V164" s="102"/>
      <c r="W164" s="103"/>
      <c r="X164" s="102"/>
      <c r="Y164" s="103"/>
      <c r="Z164" s="103"/>
      <c r="AA164" s="103"/>
      <c r="AB164" s="103"/>
      <c r="AC164" s="103"/>
      <c r="AD164" s="19"/>
      <c r="AE164" s="19"/>
      <c r="AF164" s="19"/>
      <c r="AG164" s="103"/>
      <c r="AH164" s="102"/>
      <c r="AI164" s="102"/>
      <c r="AJ164" s="103"/>
      <c r="AK164" s="103"/>
      <c r="AL164" s="103"/>
      <c r="AM164" s="103"/>
      <c r="AN164" s="103"/>
      <c r="AO164" s="103"/>
      <c r="AP164" s="103"/>
      <c r="AQ164" s="103"/>
      <c r="AR164" s="103"/>
      <c r="AS164" s="103"/>
    </row>
    <row r="165" spans="3:45" ht="20.100000000000001" customHeight="1" x14ac:dyDescent="0.25">
      <c r="C165" s="103"/>
      <c r="D165" s="102"/>
      <c r="E165" s="103"/>
      <c r="F165" s="103"/>
      <c r="G165" s="103"/>
      <c r="H165" s="102"/>
      <c r="I165" s="103"/>
      <c r="J165" s="103"/>
      <c r="K165" s="103"/>
      <c r="L165" s="102"/>
      <c r="M165" s="103"/>
      <c r="N165" s="103"/>
      <c r="O165" s="103"/>
      <c r="P165" s="102"/>
      <c r="Q165" s="103"/>
      <c r="R165" s="58"/>
      <c r="S165" s="103"/>
      <c r="T165" s="102"/>
      <c r="U165" s="103"/>
      <c r="V165" s="102"/>
      <c r="W165" s="103"/>
      <c r="X165" s="102"/>
      <c r="Y165" s="103"/>
      <c r="Z165" s="103"/>
      <c r="AA165" s="103"/>
      <c r="AB165" s="103"/>
      <c r="AC165" s="103"/>
      <c r="AD165" s="19"/>
      <c r="AE165" s="19"/>
      <c r="AF165" s="19"/>
      <c r="AG165" s="103"/>
      <c r="AH165" s="102"/>
      <c r="AI165" s="102"/>
      <c r="AJ165" s="103"/>
      <c r="AK165" s="103"/>
      <c r="AL165" s="103"/>
      <c r="AM165" s="103"/>
      <c r="AN165" s="103"/>
      <c r="AO165" s="103"/>
      <c r="AP165" s="103"/>
      <c r="AQ165" s="103"/>
      <c r="AR165" s="103"/>
      <c r="AS165" s="103"/>
    </row>
    <row r="166" spans="3:45" ht="20.100000000000001" customHeight="1" x14ac:dyDescent="0.25">
      <c r="C166" s="103"/>
      <c r="D166" s="102"/>
      <c r="E166" s="103"/>
      <c r="F166" s="103"/>
      <c r="G166" s="103"/>
      <c r="H166" s="102"/>
      <c r="I166" s="103"/>
      <c r="J166" s="103"/>
      <c r="K166" s="103"/>
      <c r="L166" s="102"/>
      <c r="M166" s="103"/>
      <c r="N166" s="103"/>
      <c r="O166" s="103"/>
      <c r="P166" s="102"/>
      <c r="Q166" s="103"/>
      <c r="R166" s="58"/>
      <c r="S166" s="103"/>
      <c r="T166" s="102"/>
      <c r="U166" s="103"/>
      <c r="V166" s="102"/>
      <c r="W166" s="103"/>
      <c r="X166" s="102"/>
      <c r="Y166" s="103"/>
      <c r="Z166" s="103"/>
      <c r="AA166" s="103"/>
      <c r="AB166" s="103"/>
      <c r="AC166" s="103"/>
      <c r="AD166" s="19"/>
      <c r="AE166" s="19"/>
      <c r="AF166" s="19"/>
      <c r="AG166" s="103"/>
      <c r="AH166" s="102"/>
      <c r="AI166" s="102"/>
      <c r="AJ166" s="103"/>
      <c r="AK166" s="103"/>
      <c r="AL166" s="103"/>
      <c r="AM166" s="103"/>
      <c r="AN166" s="103"/>
      <c r="AO166" s="103"/>
      <c r="AP166" s="103"/>
      <c r="AQ166" s="103"/>
      <c r="AR166" s="103"/>
      <c r="AS166" s="103"/>
    </row>
    <row r="167" spans="3:45" ht="20.100000000000001" customHeight="1" x14ac:dyDescent="0.25">
      <c r="C167" s="103"/>
      <c r="D167" s="102"/>
      <c r="E167" s="103"/>
      <c r="F167" s="103"/>
      <c r="G167" s="103"/>
      <c r="H167" s="102"/>
      <c r="I167" s="103"/>
      <c r="J167" s="103"/>
      <c r="K167" s="103"/>
      <c r="L167" s="102"/>
      <c r="M167" s="103"/>
      <c r="N167" s="103"/>
      <c r="O167" s="103"/>
      <c r="P167" s="102"/>
      <c r="Q167" s="103"/>
      <c r="R167" s="58"/>
      <c r="S167" s="103"/>
      <c r="T167" s="102"/>
      <c r="U167" s="103"/>
      <c r="V167" s="102"/>
      <c r="W167" s="103"/>
      <c r="X167" s="102"/>
      <c r="Y167" s="103"/>
      <c r="Z167" s="103"/>
      <c r="AA167" s="103"/>
      <c r="AB167" s="103"/>
      <c r="AC167" s="103"/>
      <c r="AD167" s="19"/>
      <c r="AE167" s="19"/>
      <c r="AF167" s="19"/>
      <c r="AG167" s="103"/>
      <c r="AH167" s="102"/>
      <c r="AI167" s="102"/>
      <c r="AJ167" s="103"/>
      <c r="AK167" s="103"/>
      <c r="AL167" s="103"/>
      <c r="AM167" s="103"/>
      <c r="AN167" s="103"/>
      <c r="AO167" s="103"/>
      <c r="AP167" s="103"/>
      <c r="AQ167" s="103"/>
      <c r="AR167" s="103"/>
      <c r="AS167" s="103"/>
    </row>
    <row r="168" spans="3:45" ht="20.100000000000001" customHeight="1" x14ac:dyDescent="0.25">
      <c r="C168" s="103"/>
      <c r="D168" s="102"/>
      <c r="E168" s="103"/>
      <c r="F168" s="103"/>
      <c r="G168" s="103"/>
      <c r="H168" s="102"/>
      <c r="I168" s="103"/>
      <c r="J168" s="103"/>
      <c r="K168" s="103"/>
      <c r="L168" s="102"/>
      <c r="M168" s="103"/>
      <c r="N168" s="103"/>
      <c r="O168" s="103"/>
      <c r="P168" s="102"/>
      <c r="Q168" s="103"/>
      <c r="R168" s="58"/>
      <c r="S168" s="103"/>
      <c r="T168" s="102"/>
      <c r="U168" s="103"/>
      <c r="V168" s="102"/>
      <c r="W168" s="103"/>
      <c r="X168" s="102"/>
      <c r="Y168" s="103"/>
      <c r="Z168" s="103"/>
      <c r="AA168" s="103"/>
      <c r="AB168" s="103"/>
      <c r="AC168" s="103"/>
      <c r="AD168" s="19"/>
      <c r="AE168" s="19"/>
      <c r="AF168" s="19"/>
      <c r="AG168" s="103"/>
      <c r="AH168" s="102"/>
      <c r="AI168" s="102"/>
      <c r="AJ168" s="103"/>
      <c r="AK168" s="103"/>
      <c r="AL168" s="103"/>
      <c r="AM168" s="103"/>
      <c r="AN168" s="103"/>
      <c r="AO168" s="103"/>
      <c r="AP168" s="103"/>
      <c r="AQ168" s="103"/>
      <c r="AR168" s="103"/>
      <c r="AS168" s="103"/>
    </row>
    <row r="169" spans="3:45" ht="20.100000000000001" customHeight="1" x14ac:dyDescent="0.25">
      <c r="C169" s="103"/>
      <c r="D169" s="102"/>
      <c r="E169" s="103"/>
      <c r="F169" s="103"/>
      <c r="G169" s="103"/>
      <c r="H169" s="102"/>
      <c r="I169" s="103"/>
      <c r="J169" s="103"/>
      <c r="K169" s="103"/>
      <c r="L169" s="102"/>
      <c r="M169" s="103"/>
      <c r="N169" s="103"/>
      <c r="O169" s="103"/>
      <c r="P169" s="102"/>
      <c r="Q169" s="103"/>
      <c r="R169" s="58"/>
      <c r="S169" s="103"/>
      <c r="T169" s="102"/>
      <c r="U169" s="103"/>
      <c r="V169" s="102"/>
      <c r="W169" s="103"/>
      <c r="X169" s="102"/>
      <c r="Y169" s="103"/>
      <c r="Z169" s="103"/>
      <c r="AA169" s="103"/>
      <c r="AB169" s="103"/>
      <c r="AC169" s="103"/>
      <c r="AD169" s="19"/>
      <c r="AE169" s="19"/>
      <c r="AF169" s="19"/>
      <c r="AG169" s="103"/>
      <c r="AH169" s="102"/>
      <c r="AI169" s="102"/>
    </row>
    <row r="170" spans="3:45" ht="20.100000000000001" customHeight="1" x14ac:dyDescent="0.25">
      <c r="C170" s="103"/>
      <c r="D170" s="102"/>
      <c r="E170" s="103"/>
      <c r="F170" s="103"/>
      <c r="G170" s="103"/>
      <c r="H170" s="102"/>
      <c r="I170" s="103"/>
      <c r="J170" s="103"/>
      <c r="K170" s="103"/>
      <c r="L170" s="102"/>
      <c r="M170" s="103"/>
      <c r="N170" s="103"/>
      <c r="O170" s="103"/>
      <c r="P170" s="102"/>
      <c r="Q170" s="103"/>
      <c r="R170" s="58"/>
      <c r="S170" s="103"/>
      <c r="T170" s="102"/>
      <c r="U170" s="103"/>
      <c r="V170" s="102"/>
      <c r="W170" s="103"/>
      <c r="X170" s="102"/>
      <c r="Y170" s="103"/>
      <c r="Z170" s="103"/>
      <c r="AA170" s="103"/>
      <c r="AB170" s="103"/>
      <c r="AC170" s="103"/>
      <c r="AD170" s="19"/>
      <c r="AE170" s="19"/>
      <c r="AF170" s="19"/>
      <c r="AG170" s="103"/>
      <c r="AH170" s="102"/>
      <c r="AI170" s="102"/>
    </row>
    <row r="171" spans="3:45" ht="20.100000000000001" customHeight="1" x14ac:dyDescent="0.25">
      <c r="C171" s="103"/>
      <c r="D171" s="102"/>
      <c r="E171" s="103"/>
      <c r="F171" s="103"/>
      <c r="G171" s="103"/>
      <c r="H171" s="102"/>
      <c r="I171" s="103"/>
      <c r="J171" s="103"/>
      <c r="K171" s="103"/>
      <c r="L171" s="102"/>
      <c r="M171" s="103"/>
      <c r="N171" s="103"/>
      <c r="O171" s="103"/>
      <c r="P171" s="102"/>
      <c r="Q171" s="103"/>
      <c r="R171" s="58"/>
      <c r="S171" s="103"/>
      <c r="T171" s="102"/>
      <c r="U171" s="103"/>
      <c r="V171" s="102"/>
      <c r="W171" s="103"/>
      <c r="X171" s="102"/>
      <c r="Y171" s="103"/>
      <c r="Z171" s="103"/>
      <c r="AA171" s="103"/>
      <c r="AB171" s="103"/>
      <c r="AC171" s="103"/>
      <c r="AD171" s="19"/>
      <c r="AE171" s="19"/>
      <c r="AF171" s="19"/>
      <c r="AG171" s="103"/>
      <c r="AH171" s="102"/>
      <c r="AI171" s="102"/>
    </row>
    <row r="172" spans="3:45" ht="20.100000000000001" customHeight="1" x14ac:dyDescent="0.25">
      <c r="C172" s="103"/>
      <c r="D172" s="102"/>
      <c r="E172" s="103"/>
      <c r="F172" s="103"/>
      <c r="G172" s="103"/>
      <c r="H172" s="102"/>
      <c r="I172" s="103"/>
      <c r="J172" s="103"/>
      <c r="K172" s="103"/>
      <c r="L172" s="102"/>
      <c r="M172" s="103"/>
      <c r="N172" s="103"/>
      <c r="O172" s="103"/>
      <c r="P172" s="102"/>
      <c r="Q172" s="103"/>
      <c r="R172" s="58"/>
      <c r="S172" s="103"/>
      <c r="T172" s="102"/>
      <c r="U172" s="103"/>
      <c r="V172" s="102"/>
      <c r="W172" s="103"/>
      <c r="X172" s="102"/>
      <c r="Y172" s="103"/>
      <c r="Z172" s="103"/>
      <c r="AA172" s="103"/>
      <c r="AB172" s="103"/>
      <c r="AC172" s="103"/>
      <c r="AD172" s="19"/>
      <c r="AE172" s="19"/>
      <c r="AF172" s="19"/>
      <c r="AG172" s="103"/>
      <c r="AH172" s="102"/>
      <c r="AI172" s="102"/>
    </row>
    <row r="173" spans="3:45" ht="20.100000000000001" customHeight="1" x14ac:dyDescent="0.25">
      <c r="C173" s="103"/>
      <c r="D173" s="102"/>
      <c r="E173" s="103"/>
      <c r="F173" s="103"/>
      <c r="G173" s="103"/>
      <c r="H173" s="102"/>
      <c r="I173" s="103"/>
      <c r="J173" s="103"/>
      <c r="K173" s="103"/>
      <c r="L173" s="102"/>
      <c r="M173" s="103"/>
      <c r="N173" s="103"/>
      <c r="O173" s="103"/>
      <c r="P173" s="102"/>
      <c r="Q173" s="103"/>
      <c r="R173" s="58"/>
      <c r="S173" s="103"/>
      <c r="T173" s="102"/>
      <c r="U173" s="103"/>
      <c r="V173" s="102"/>
      <c r="W173" s="103"/>
      <c r="X173" s="102"/>
      <c r="Y173" s="103"/>
      <c r="Z173" s="103"/>
      <c r="AA173" s="103"/>
      <c r="AB173" s="103"/>
      <c r="AC173" s="103"/>
      <c r="AD173" s="19"/>
      <c r="AE173" s="19"/>
      <c r="AF173" s="19"/>
      <c r="AG173" s="103"/>
      <c r="AH173" s="102"/>
      <c r="AI173" s="102"/>
    </row>
    <row r="174" spans="3:45" ht="20.100000000000001" customHeight="1" x14ac:dyDescent="0.25">
      <c r="C174" s="103"/>
      <c r="D174" s="102"/>
      <c r="E174" s="103"/>
      <c r="F174" s="103"/>
      <c r="G174" s="103"/>
      <c r="H174" s="102"/>
      <c r="I174" s="103"/>
      <c r="J174" s="103"/>
      <c r="K174" s="103"/>
      <c r="L174" s="102"/>
      <c r="M174" s="103"/>
      <c r="N174" s="103"/>
      <c r="O174" s="103"/>
      <c r="P174" s="102"/>
      <c r="Q174" s="103"/>
      <c r="R174" s="58"/>
      <c r="S174" s="103"/>
      <c r="T174" s="102"/>
      <c r="U174" s="103"/>
      <c r="V174" s="102"/>
      <c r="W174" s="103"/>
      <c r="X174" s="102"/>
      <c r="Y174" s="103"/>
      <c r="Z174" s="103"/>
      <c r="AA174" s="103"/>
      <c r="AB174" s="103"/>
      <c r="AC174" s="103"/>
      <c r="AD174" s="19"/>
      <c r="AE174" s="19"/>
      <c r="AF174" s="19"/>
      <c r="AG174" s="103"/>
      <c r="AH174" s="102"/>
      <c r="AI174" s="102"/>
    </row>
    <row r="175" spans="3:45" ht="20.100000000000001" customHeight="1" x14ac:dyDescent="0.25">
      <c r="C175" s="103"/>
      <c r="D175" s="102"/>
      <c r="E175" s="103"/>
      <c r="F175" s="103"/>
      <c r="G175" s="103"/>
      <c r="H175" s="102"/>
      <c r="I175" s="103"/>
      <c r="J175" s="103"/>
      <c r="K175" s="103"/>
      <c r="L175" s="102"/>
      <c r="M175" s="103"/>
      <c r="N175" s="103"/>
      <c r="O175" s="103"/>
      <c r="P175" s="102"/>
      <c r="Q175" s="103"/>
      <c r="R175" s="58"/>
      <c r="S175" s="103"/>
      <c r="T175" s="102"/>
      <c r="U175" s="103"/>
      <c r="V175" s="102"/>
      <c r="W175" s="103"/>
      <c r="X175" s="102"/>
      <c r="Y175" s="103"/>
      <c r="Z175" s="103"/>
      <c r="AA175" s="103"/>
      <c r="AB175" s="103"/>
      <c r="AC175" s="103"/>
      <c r="AD175" s="19"/>
      <c r="AE175" s="19"/>
      <c r="AF175" s="19"/>
      <c r="AG175" s="103"/>
      <c r="AH175" s="102"/>
      <c r="AI175" s="102"/>
    </row>
    <row r="176" spans="3:45" ht="20.100000000000001" customHeight="1" x14ac:dyDescent="0.25">
      <c r="C176" s="103"/>
      <c r="D176" s="102"/>
      <c r="E176" s="103"/>
      <c r="F176" s="103"/>
      <c r="G176" s="103"/>
      <c r="H176" s="102"/>
      <c r="I176" s="103"/>
      <c r="J176" s="103"/>
      <c r="K176" s="103"/>
      <c r="L176" s="102"/>
      <c r="M176" s="103"/>
      <c r="N176" s="103"/>
      <c r="O176" s="103"/>
      <c r="P176" s="102"/>
      <c r="Q176" s="103"/>
      <c r="R176" s="58"/>
      <c r="S176" s="103"/>
      <c r="T176" s="102"/>
      <c r="U176" s="103"/>
      <c r="V176" s="102"/>
      <c r="W176" s="103"/>
      <c r="X176" s="102"/>
      <c r="Y176" s="103"/>
      <c r="Z176" s="103"/>
      <c r="AA176" s="103"/>
      <c r="AB176" s="103"/>
      <c r="AC176" s="103"/>
      <c r="AD176" s="19"/>
      <c r="AE176" s="19"/>
      <c r="AF176" s="19"/>
      <c r="AG176" s="103"/>
      <c r="AH176" s="102"/>
      <c r="AI176" s="102"/>
    </row>
    <row r="177" spans="3:35" ht="20.100000000000001" customHeight="1" x14ac:dyDescent="0.25">
      <c r="C177" s="103"/>
      <c r="D177" s="102"/>
      <c r="E177" s="103"/>
      <c r="F177" s="103"/>
      <c r="G177" s="103"/>
      <c r="H177" s="102"/>
      <c r="I177" s="103"/>
      <c r="J177" s="103"/>
      <c r="K177" s="103"/>
      <c r="L177" s="102"/>
      <c r="M177" s="103"/>
      <c r="N177" s="103"/>
      <c r="O177" s="103"/>
      <c r="P177" s="102"/>
      <c r="Q177" s="103"/>
      <c r="R177" s="58"/>
      <c r="S177" s="103"/>
      <c r="T177" s="102"/>
      <c r="U177" s="103"/>
      <c r="V177" s="102"/>
      <c r="W177" s="103"/>
      <c r="X177" s="102"/>
      <c r="Y177" s="103"/>
      <c r="Z177" s="103"/>
      <c r="AA177" s="103"/>
      <c r="AB177" s="103"/>
      <c r="AC177" s="103"/>
      <c r="AD177" s="19"/>
      <c r="AE177" s="19"/>
      <c r="AF177" s="19"/>
      <c r="AG177" s="103"/>
      <c r="AH177" s="102"/>
      <c r="AI177" s="102"/>
    </row>
    <row r="178" spans="3:35" ht="20.100000000000001" customHeight="1" x14ac:dyDescent="0.25">
      <c r="C178" s="103"/>
      <c r="D178" s="102"/>
      <c r="E178" s="103"/>
      <c r="F178" s="103"/>
      <c r="G178" s="103"/>
      <c r="H178" s="102"/>
      <c r="I178" s="103"/>
      <c r="J178" s="103"/>
      <c r="K178" s="103"/>
      <c r="L178" s="102"/>
      <c r="M178" s="103"/>
      <c r="N178" s="103"/>
      <c r="O178" s="103"/>
      <c r="P178" s="102"/>
      <c r="Q178" s="103"/>
      <c r="R178" s="58"/>
      <c r="S178" s="103"/>
      <c r="T178" s="102"/>
      <c r="U178" s="103"/>
      <c r="V178" s="102"/>
      <c r="W178" s="103"/>
      <c r="X178" s="102"/>
      <c r="Y178" s="103"/>
      <c r="Z178" s="103"/>
      <c r="AA178" s="103"/>
      <c r="AB178" s="103"/>
      <c r="AC178" s="103"/>
      <c r="AD178" s="19"/>
      <c r="AE178" s="19"/>
      <c r="AF178" s="19"/>
      <c r="AG178" s="103"/>
      <c r="AH178" s="102"/>
      <c r="AI178" s="102"/>
    </row>
    <row r="179" spans="3:35" ht="20.100000000000001" customHeight="1" x14ac:dyDescent="0.25">
      <c r="C179" s="103"/>
      <c r="D179" s="102"/>
      <c r="E179" s="103"/>
      <c r="F179" s="103"/>
      <c r="G179" s="103"/>
      <c r="H179" s="102"/>
      <c r="I179" s="103"/>
      <c r="J179" s="103"/>
      <c r="K179" s="103"/>
      <c r="L179" s="102"/>
      <c r="M179" s="103"/>
      <c r="N179" s="103"/>
      <c r="O179" s="103"/>
      <c r="P179" s="102"/>
      <c r="Q179" s="103"/>
      <c r="R179" s="58"/>
      <c r="S179" s="103"/>
      <c r="T179" s="102"/>
      <c r="U179" s="103"/>
      <c r="V179" s="102"/>
      <c r="W179" s="103"/>
      <c r="X179" s="102"/>
      <c r="Y179" s="103"/>
      <c r="Z179" s="103"/>
      <c r="AA179" s="103"/>
      <c r="AB179" s="103"/>
      <c r="AC179" s="103"/>
      <c r="AD179" s="19"/>
      <c r="AE179" s="19"/>
      <c r="AF179" s="19"/>
      <c r="AG179" s="103"/>
      <c r="AH179" s="102"/>
      <c r="AI179" s="102"/>
    </row>
    <row r="180" spans="3:35" ht="20.100000000000001" customHeight="1" x14ac:dyDescent="0.25">
      <c r="C180" s="103"/>
      <c r="D180" s="102"/>
      <c r="E180" s="103"/>
      <c r="F180" s="103"/>
      <c r="G180" s="103"/>
      <c r="H180" s="102"/>
      <c r="I180" s="103"/>
      <c r="J180" s="103"/>
      <c r="K180" s="103"/>
      <c r="L180" s="102"/>
      <c r="M180" s="103"/>
      <c r="N180" s="103"/>
      <c r="O180" s="103"/>
      <c r="P180" s="102"/>
      <c r="Q180" s="103"/>
      <c r="R180" s="58"/>
      <c r="S180" s="103"/>
      <c r="T180" s="102"/>
      <c r="U180" s="103"/>
      <c r="V180" s="102"/>
      <c r="W180" s="103"/>
      <c r="X180" s="102"/>
      <c r="Y180" s="103"/>
      <c r="Z180" s="103"/>
      <c r="AA180" s="103"/>
      <c r="AB180" s="103"/>
      <c r="AC180" s="103"/>
      <c r="AD180" s="19"/>
      <c r="AE180" s="19"/>
      <c r="AF180" s="19"/>
      <c r="AG180" s="103"/>
      <c r="AH180" s="102"/>
      <c r="AI180" s="102"/>
    </row>
    <row r="181" spans="3:35" ht="20.100000000000001" customHeight="1" x14ac:dyDescent="0.25">
      <c r="C181" s="103"/>
      <c r="D181" s="102"/>
      <c r="E181" s="103"/>
      <c r="F181" s="103"/>
      <c r="G181" s="103"/>
      <c r="H181" s="102"/>
      <c r="I181" s="103"/>
      <c r="J181" s="103"/>
      <c r="K181" s="103"/>
      <c r="L181" s="102"/>
      <c r="M181" s="103"/>
      <c r="N181" s="103"/>
      <c r="O181" s="103"/>
      <c r="P181" s="102"/>
      <c r="Q181" s="103"/>
      <c r="R181" s="58"/>
      <c r="S181" s="103"/>
      <c r="T181" s="102"/>
      <c r="U181" s="103"/>
      <c r="V181" s="102"/>
      <c r="W181" s="103"/>
      <c r="X181" s="102"/>
      <c r="Y181" s="103"/>
      <c r="Z181" s="103"/>
      <c r="AA181" s="103"/>
      <c r="AB181" s="103"/>
      <c r="AC181" s="103"/>
      <c r="AD181" s="19"/>
      <c r="AE181" s="19"/>
      <c r="AF181" s="19"/>
      <c r="AG181" s="103"/>
      <c r="AH181" s="102"/>
      <c r="AI181" s="102"/>
    </row>
    <row r="182" spans="3:35" ht="20.100000000000001" customHeight="1" x14ac:dyDescent="0.25">
      <c r="C182" s="103"/>
      <c r="D182" s="102"/>
      <c r="E182" s="103"/>
      <c r="F182" s="103"/>
      <c r="G182" s="103"/>
      <c r="H182" s="102"/>
      <c r="I182" s="103"/>
      <c r="J182" s="103"/>
      <c r="K182" s="103"/>
      <c r="L182" s="102"/>
      <c r="M182" s="103"/>
      <c r="N182" s="103"/>
      <c r="O182" s="103"/>
      <c r="P182" s="102"/>
      <c r="Q182" s="103"/>
      <c r="R182" s="58"/>
      <c r="S182" s="103"/>
      <c r="T182" s="102"/>
      <c r="U182" s="103"/>
      <c r="V182" s="102"/>
      <c r="W182" s="103"/>
      <c r="X182" s="102"/>
      <c r="Y182" s="103"/>
      <c r="Z182" s="103"/>
      <c r="AA182" s="103"/>
      <c r="AB182" s="103"/>
      <c r="AC182" s="103"/>
      <c r="AD182" s="19"/>
      <c r="AE182" s="19"/>
      <c r="AF182" s="19"/>
      <c r="AG182" s="103"/>
      <c r="AH182" s="102"/>
      <c r="AI182" s="102"/>
    </row>
    <row r="183" spans="3:35" ht="20.100000000000001" customHeight="1" x14ac:dyDescent="0.25">
      <c r="C183" s="103"/>
      <c r="D183" s="102"/>
      <c r="E183" s="103"/>
      <c r="F183" s="103"/>
      <c r="G183" s="103"/>
      <c r="H183" s="102"/>
      <c r="I183" s="103"/>
      <c r="J183" s="103"/>
      <c r="K183" s="103"/>
      <c r="L183" s="102"/>
      <c r="M183" s="103"/>
      <c r="N183" s="103"/>
      <c r="O183" s="103"/>
      <c r="P183" s="102"/>
      <c r="Q183" s="103"/>
      <c r="R183" s="58"/>
      <c r="S183" s="103"/>
      <c r="T183" s="102"/>
      <c r="U183" s="103"/>
      <c r="V183" s="102"/>
      <c r="W183" s="103"/>
      <c r="X183" s="102"/>
      <c r="Y183" s="103"/>
      <c r="Z183" s="103"/>
      <c r="AA183" s="103"/>
      <c r="AB183" s="103"/>
      <c r="AC183" s="103"/>
      <c r="AD183" s="19"/>
      <c r="AE183" s="19"/>
      <c r="AF183" s="19"/>
      <c r="AG183" s="103"/>
      <c r="AH183" s="102"/>
      <c r="AI183" s="102"/>
    </row>
    <row r="184" spans="3:35" ht="20.100000000000001" customHeight="1" x14ac:dyDescent="0.25">
      <c r="C184" s="103"/>
      <c r="D184" s="102"/>
      <c r="E184" s="103"/>
      <c r="F184" s="103"/>
      <c r="G184" s="103"/>
      <c r="H184" s="102"/>
      <c r="I184" s="103"/>
      <c r="J184" s="103"/>
      <c r="K184" s="103"/>
      <c r="L184" s="102"/>
      <c r="M184" s="103"/>
      <c r="N184" s="103"/>
      <c r="O184" s="103"/>
      <c r="P184" s="102"/>
      <c r="Q184" s="103"/>
      <c r="R184" s="58"/>
      <c r="S184" s="103"/>
      <c r="T184" s="102"/>
      <c r="U184" s="103"/>
      <c r="V184" s="102"/>
      <c r="W184" s="103"/>
      <c r="X184" s="102"/>
      <c r="Y184" s="103"/>
      <c r="Z184" s="103"/>
      <c r="AA184" s="103"/>
      <c r="AB184" s="103"/>
      <c r="AC184" s="103"/>
      <c r="AD184" s="19"/>
      <c r="AE184" s="19"/>
      <c r="AF184" s="19"/>
      <c r="AG184" s="103"/>
      <c r="AH184" s="102"/>
      <c r="AI184" s="102"/>
    </row>
    <row r="185" spans="3:35" ht="20.100000000000001" customHeight="1" x14ac:dyDescent="0.25">
      <c r="C185" s="103"/>
      <c r="D185" s="102"/>
      <c r="E185" s="103"/>
      <c r="F185" s="103"/>
      <c r="G185" s="103"/>
      <c r="H185" s="102"/>
      <c r="I185" s="103"/>
      <c r="J185" s="103"/>
      <c r="K185" s="103"/>
      <c r="L185" s="102"/>
      <c r="M185" s="103"/>
      <c r="N185" s="103"/>
      <c r="O185" s="103"/>
      <c r="P185" s="102"/>
      <c r="Q185" s="103"/>
      <c r="R185" s="58"/>
      <c r="S185" s="103"/>
      <c r="T185" s="102"/>
      <c r="U185" s="103"/>
      <c r="V185" s="102"/>
      <c r="W185" s="103"/>
      <c r="X185" s="102"/>
      <c r="Y185" s="103"/>
      <c r="Z185" s="103"/>
      <c r="AA185" s="103"/>
      <c r="AB185" s="103"/>
      <c r="AC185" s="103"/>
      <c r="AD185" s="19"/>
      <c r="AE185" s="19"/>
      <c r="AF185" s="19"/>
      <c r="AG185" s="103"/>
      <c r="AH185" s="102"/>
      <c r="AI185" s="102"/>
    </row>
    <row r="186" spans="3:35" ht="20.100000000000001" customHeight="1" x14ac:dyDescent="0.25">
      <c r="C186" s="103"/>
      <c r="D186" s="102"/>
      <c r="E186" s="103"/>
      <c r="F186" s="103"/>
      <c r="G186" s="103"/>
      <c r="H186" s="102"/>
      <c r="I186" s="103"/>
      <c r="J186" s="103"/>
      <c r="K186" s="103"/>
      <c r="L186" s="102"/>
      <c r="M186" s="103"/>
      <c r="N186" s="103"/>
      <c r="O186" s="103"/>
      <c r="P186" s="102"/>
      <c r="X186" s="102"/>
      <c r="Y186" s="103"/>
      <c r="Z186" s="103"/>
      <c r="AA186" s="103"/>
      <c r="AB186" s="103"/>
      <c r="AC186" s="103"/>
      <c r="AD186" s="19"/>
      <c r="AE186" s="19"/>
      <c r="AF186" s="19"/>
      <c r="AG186" s="103"/>
      <c r="AH186" s="102"/>
      <c r="AI186" s="102"/>
    </row>
    <row r="187" spans="3:35" ht="20.100000000000001" customHeight="1" x14ac:dyDescent="0.25">
      <c r="C187" s="103"/>
      <c r="D187" s="102"/>
      <c r="E187" s="103"/>
      <c r="F187" s="103"/>
      <c r="G187" s="103"/>
      <c r="H187" s="102"/>
      <c r="I187" s="103"/>
      <c r="J187" s="103"/>
      <c r="K187" s="103"/>
      <c r="L187" s="102"/>
      <c r="M187" s="103"/>
      <c r="N187" s="103"/>
      <c r="O187" s="103"/>
      <c r="P187" s="102"/>
      <c r="X187" s="102"/>
      <c r="Y187" s="103"/>
      <c r="Z187" s="103"/>
      <c r="AA187" s="103"/>
      <c r="AB187" s="103"/>
      <c r="AC187" s="103"/>
      <c r="AD187" s="19"/>
      <c r="AE187" s="19"/>
      <c r="AF187" s="19"/>
      <c r="AG187" s="103"/>
      <c r="AH187" s="102"/>
      <c r="AI187" s="102"/>
    </row>
    <row r="188" spans="3:35" ht="20.100000000000001" customHeight="1" x14ac:dyDescent="0.25">
      <c r="C188" s="103"/>
      <c r="D188" s="102"/>
      <c r="E188" s="103"/>
      <c r="F188" s="103"/>
      <c r="G188" s="103"/>
      <c r="H188" s="102"/>
      <c r="I188" s="103"/>
      <c r="J188" s="103"/>
      <c r="K188" s="103"/>
      <c r="L188" s="102"/>
      <c r="M188" s="103"/>
      <c r="N188" s="103"/>
      <c r="O188" s="103"/>
      <c r="P188" s="102"/>
      <c r="X188" s="102"/>
      <c r="Y188" s="103"/>
      <c r="Z188" s="103"/>
      <c r="AD188" s="19"/>
      <c r="AE188" s="19"/>
      <c r="AF188" s="19"/>
      <c r="AG188" s="103"/>
      <c r="AH188" s="102"/>
      <c r="AI188" s="102"/>
    </row>
    <row r="189" spans="3:35" ht="20.100000000000001" customHeight="1" x14ac:dyDescent="0.25">
      <c r="J189" s="103"/>
      <c r="K189" s="103"/>
      <c r="L189" s="102"/>
      <c r="M189" s="103"/>
      <c r="O189" s="103"/>
      <c r="P189" s="102"/>
      <c r="X189" s="102"/>
      <c r="Y189" s="103"/>
      <c r="Z189" s="103"/>
      <c r="AD189" s="19"/>
      <c r="AE189" s="19"/>
      <c r="AF189" s="19"/>
      <c r="AG189" s="103"/>
      <c r="AH189" s="102"/>
      <c r="AI189" s="102"/>
    </row>
    <row r="190" spans="3:35" ht="20.100000000000001" customHeight="1" x14ac:dyDescent="0.25">
      <c r="J190" s="103"/>
      <c r="K190" s="103"/>
      <c r="L190" s="102"/>
      <c r="M190" s="103"/>
      <c r="O190" s="103"/>
      <c r="P190" s="102"/>
      <c r="AD190" s="19"/>
      <c r="AE190" s="19"/>
      <c r="AF190" s="19"/>
      <c r="AG190" s="103"/>
      <c r="AH190" s="102"/>
      <c r="AI190" s="102"/>
    </row>
    <row r="191" spans="3:35" ht="20.100000000000001" customHeight="1" x14ac:dyDescent="0.25">
      <c r="J191" s="103"/>
      <c r="P191" s="102"/>
      <c r="AD191" s="19"/>
      <c r="AE191" s="19"/>
      <c r="AF191" s="19"/>
      <c r="AG191" s="103"/>
      <c r="AH191" s="102"/>
      <c r="AI191" s="102"/>
    </row>
    <row r="192" spans="3:35" ht="20.100000000000001" customHeight="1" x14ac:dyDescent="0.25">
      <c r="J192" s="103"/>
      <c r="P192" s="102"/>
      <c r="AD192" s="19"/>
      <c r="AE192" s="19"/>
      <c r="AF192" s="19"/>
      <c r="AG192" s="103"/>
      <c r="AH192" s="102"/>
      <c r="AI192" s="102"/>
    </row>
    <row r="193" spans="10:35" ht="20.100000000000001" customHeight="1" x14ac:dyDescent="0.25">
      <c r="J193" s="103"/>
      <c r="P193" s="102"/>
      <c r="AD193" s="19"/>
      <c r="AE193" s="19"/>
      <c r="AF193" s="19"/>
      <c r="AG193" s="103"/>
      <c r="AH193" s="102"/>
      <c r="AI193" s="102"/>
    </row>
    <row r="194" spans="10:35" ht="20.100000000000001" customHeight="1" x14ac:dyDescent="0.25">
      <c r="J194" s="103"/>
      <c r="P194" s="102"/>
      <c r="AD194" s="19"/>
      <c r="AE194" s="19"/>
      <c r="AF194" s="19"/>
      <c r="AG194" s="103"/>
      <c r="AH194" s="102"/>
      <c r="AI194" s="102"/>
    </row>
    <row r="195" spans="10:35" ht="20.100000000000001" customHeight="1" x14ac:dyDescent="0.25">
      <c r="P195" s="102"/>
      <c r="AF195" s="19"/>
      <c r="AG195" s="103"/>
      <c r="AH195" s="102"/>
      <c r="AI195" s="102"/>
    </row>
    <row r="196" spans="10:35" ht="20.100000000000001" customHeight="1" x14ac:dyDescent="0.25">
      <c r="P196" s="102"/>
      <c r="AH196" s="102"/>
      <c r="AI196" s="102"/>
    </row>
  </sheetData>
  <mergeCells count="20">
    <mergeCell ref="M10:O10"/>
    <mergeCell ref="M11:O11"/>
    <mergeCell ref="I7:K7"/>
    <mergeCell ref="I11:K11"/>
    <mergeCell ref="E11:G11"/>
    <mergeCell ref="E7:G7"/>
    <mergeCell ref="E8:G8"/>
    <mergeCell ref="E9:G9"/>
    <mergeCell ref="E10:G10"/>
    <mergeCell ref="I10:K10"/>
    <mergeCell ref="I9:K9"/>
    <mergeCell ref="I8:K8"/>
    <mergeCell ref="M8:O8"/>
    <mergeCell ref="M9:O9"/>
    <mergeCell ref="W4:Y4"/>
    <mergeCell ref="E4:G4"/>
    <mergeCell ref="I4:K4"/>
    <mergeCell ref="E6:G6"/>
    <mergeCell ref="I6:K6"/>
    <mergeCell ref="M4:O4"/>
  </mergeCells>
  <conditionalFormatting sqref="X46:AA46 V46 U32:U33 W32:W33 Y32:Y33 AA32:AA33 AC32:AC33 AG32:AG33 AI32:AI33 U39:U46 AA40:AA46 AC40:AC46 AG40:AG46 AI40:AI46 Y40:Y46 W40:W46 U35:U36 W35:W36 Y35:Y36 AA35:AA36 AC35:AC36 AG35:AG36 AI35:AI36 AI49:AI53 AG49:AG53 S53 AI56:AI57 AG56:AG58 AE58 AC51:AC53 AA51:AA53 Y51:Y53 W51:W53 AF54:AI55 V49:AC50 AF39:AI39 V39:AC39 O49:O52 M49:M52 K49:K52 I49:I52 G49:G52 U49:U53">
    <cfRule type="expression" dxfId="85" priority="210">
      <formula>COUNTA($S$6:$S$24)=0</formula>
    </cfRule>
  </conditionalFormatting>
  <conditionalFormatting sqref="AD73:AD79 AA60:AC60 AA84:AC90 AD81:AD85 AG82:AG86 AG74:AG80 AF87:AG88 AD86:AE87 AF90:AG97 AD89:AE96 AD67:AE68 X87:Z91 S83:W87 X62:Z63 S58:W59 AE59:AE66 AF59:AG69">
    <cfRule type="expression" dxfId="84" priority="211">
      <formula>S58&lt;=$K$15*40%</formula>
    </cfRule>
  </conditionalFormatting>
  <conditionalFormatting sqref="AF39:AI39 U39:AC39">
    <cfRule type="expression" dxfId="83" priority="148">
      <formula>$U$39=300</formula>
    </cfRule>
  </conditionalFormatting>
  <conditionalFormatting sqref="G49 AF54:AI54 U49:AC49">
    <cfRule type="expression" dxfId="82" priority="139">
      <formula>$G$49=250</formula>
    </cfRule>
  </conditionalFormatting>
  <conditionalFormatting sqref="I49">
    <cfRule type="expression" dxfId="81" priority="137">
      <formula>$I$49=250</formula>
    </cfRule>
  </conditionalFormatting>
  <conditionalFormatting sqref="K49">
    <cfRule type="expression" dxfId="80" priority="136">
      <formula>$K$49=250</formula>
    </cfRule>
  </conditionalFormatting>
  <conditionalFormatting sqref="M49">
    <cfRule type="expression" dxfId="79" priority="135">
      <formula>$M$49=250</formula>
    </cfRule>
  </conditionalFormatting>
  <conditionalFormatting sqref="O49">
    <cfRule type="expression" dxfId="78" priority="134">
      <formula>$O$49=250</formula>
    </cfRule>
  </conditionalFormatting>
  <conditionalFormatting sqref="AG49">
    <cfRule type="expression" dxfId="77" priority="133">
      <formula>$AG$49=250</formula>
    </cfRule>
  </conditionalFormatting>
  <conditionalFormatting sqref="AI49">
    <cfRule type="expression" dxfId="76" priority="132">
      <formula>$AI$49=250</formula>
    </cfRule>
  </conditionalFormatting>
  <conditionalFormatting sqref="U35">
    <cfRule type="expression" dxfId="75" priority="131">
      <formula>$U$35=900</formula>
    </cfRule>
  </conditionalFormatting>
  <conditionalFormatting sqref="W35">
    <cfRule type="expression" dxfId="74" priority="129">
      <formula>$W$35=900</formula>
    </cfRule>
  </conditionalFormatting>
  <conditionalFormatting sqref="Y35">
    <cfRule type="expression" dxfId="73" priority="128">
      <formula>$Y$35=900</formula>
    </cfRule>
  </conditionalFormatting>
  <conditionalFormatting sqref="AA35">
    <cfRule type="expression" dxfId="72" priority="127">
      <formula>$AA$35=900</formula>
    </cfRule>
  </conditionalFormatting>
  <conditionalFormatting sqref="AC35">
    <cfRule type="expression" dxfId="71" priority="126">
      <formula>$AC$35=900</formula>
    </cfRule>
  </conditionalFormatting>
  <conditionalFormatting sqref="AG35">
    <cfRule type="expression" dxfId="70" priority="125">
      <formula>$AG$35=900</formula>
    </cfRule>
  </conditionalFormatting>
  <conditionalFormatting sqref="AI35">
    <cfRule type="expression" dxfId="69" priority="124">
      <formula>$AI$35=900</formula>
    </cfRule>
  </conditionalFormatting>
  <conditionalFormatting sqref="U42">
    <cfRule type="expression" dxfId="68" priority="91">
      <formula>$U$42=300</formula>
    </cfRule>
    <cfRule type="expression" dxfId="67" priority="123">
      <formula>$U$42=1300</formula>
    </cfRule>
  </conditionalFormatting>
  <conditionalFormatting sqref="W42">
    <cfRule type="expression" dxfId="66" priority="89">
      <formula>$W$42=300</formula>
    </cfRule>
    <cfRule type="expression" dxfId="65" priority="121">
      <formula>$W$42=1300</formula>
    </cfRule>
  </conditionalFormatting>
  <conditionalFormatting sqref="Y42">
    <cfRule type="expression" dxfId="64" priority="88">
      <formula>$Y$42=300</formula>
    </cfRule>
    <cfRule type="expression" dxfId="63" priority="120">
      <formula>$Y$42=1300</formula>
    </cfRule>
  </conditionalFormatting>
  <conditionalFormatting sqref="AA42">
    <cfRule type="expression" dxfId="62" priority="87">
      <formula>$AA$42=300</formula>
    </cfRule>
    <cfRule type="expression" dxfId="61" priority="119">
      <formula>$AA$42=1300</formula>
    </cfRule>
  </conditionalFormatting>
  <conditionalFormatting sqref="AC42">
    <cfRule type="expression" dxfId="60" priority="86">
      <formula>$AC$42=300</formula>
    </cfRule>
    <cfRule type="expression" dxfId="59" priority="118">
      <formula>$AC$42=1300</formula>
    </cfRule>
  </conditionalFormatting>
  <conditionalFormatting sqref="AG42">
    <cfRule type="expression" dxfId="58" priority="85">
      <formula>$AG$42=300</formula>
    </cfRule>
    <cfRule type="expression" dxfId="57" priority="117">
      <formula>$AG$42=1300</formula>
    </cfRule>
  </conditionalFormatting>
  <conditionalFormatting sqref="AI42">
    <cfRule type="expression" dxfId="56" priority="84">
      <formula>$AI$42=300</formula>
    </cfRule>
    <cfRule type="expression" dxfId="55" priority="116">
      <formula>$AI$42=1300</formula>
    </cfRule>
  </conditionalFormatting>
  <conditionalFormatting sqref="U44">
    <cfRule type="expression" dxfId="54" priority="83">
      <formula>$U$44=300</formula>
    </cfRule>
    <cfRule type="expression" dxfId="53" priority="115">
      <formula>$U$44=2200</formula>
    </cfRule>
  </conditionalFormatting>
  <conditionalFormatting sqref="W44">
    <cfRule type="expression" dxfId="52" priority="81">
      <formula>$W$44=300</formula>
    </cfRule>
    <cfRule type="expression" dxfId="51" priority="113">
      <formula>$W$44=2200</formula>
    </cfRule>
  </conditionalFormatting>
  <conditionalFormatting sqref="Y44">
    <cfRule type="expression" dxfId="50" priority="80">
      <formula>$Y$44=300</formula>
    </cfRule>
    <cfRule type="expression" dxfId="49" priority="112">
      <formula>$Y$44=2200</formula>
    </cfRule>
  </conditionalFormatting>
  <conditionalFormatting sqref="AA44">
    <cfRule type="expression" dxfId="48" priority="79">
      <formula>$AA$44=300</formula>
    </cfRule>
    <cfRule type="expression" dxfId="47" priority="111">
      <formula>$AA$44=2200</formula>
    </cfRule>
  </conditionalFormatting>
  <conditionalFormatting sqref="AC44">
    <cfRule type="expression" dxfId="46" priority="78">
      <formula>$AC$44=300</formula>
    </cfRule>
    <cfRule type="expression" dxfId="45" priority="110">
      <formula>$AC$44=2200</formula>
    </cfRule>
  </conditionalFormatting>
  <conditionalFormatting sqref="AG44">
    <cfRule type="expression" dxfId="44" priority="77">
      <formula>$AG$44=300</formula>
    </cfRule>
    <cfRule type="expression" dxfId="43" priority="109">
      <formula>$AG$44=2200</formula>
    </cfRule>
  </conditionalFormatting>
  <conditionalFormatting sqref="AI44">
    <cfRule type="expression" dxfId="42" priority="76">
      <formula>$AI$44=300</formula>
    </cfRule>
    <cfRule type="expression" dxfId="41" priority="108">
      <formula>$AI$44=2200</formula>
    </cfRule>
  </conditionalFormatting>
  <conditionalFormatting sqref="U46">
    <cfRule type="expression" dxfId="40" priority="75">
      <formula>$U$46=300</formula>
    </cfRule>
    <cfRule type="expression" dxfId="39" priority="107">
      <formula>$U$46=2200</formula>
    </cfRule>
  </conditionalFormatting>
  <conditionalFormatting sqref="W46">
    <cfRule type="expression" dxfId="38" priority="73">
      <formula>$W$46=300</formula>
    </cfRule>
    <cfRule type="expression" dxfId="37" priority="105">
      <formula>$W$46=2200</formula>
    </cfRule>
  </conditionalFormatting>
  <conditionalFormatting sqref="Y46">
    <cfRule type="expression" dxfId="36" priority="72">
      <formula>$Y$46=300</formula>
    </cfRule>
    <cfRule type="expression" dxfId="35" priority="104">
      <formula>$Y$46=2200</formula>
    </cfRule>
  </conditionalFormatting>
  <conditionalFormatting sqref="AA46">
    <cfRule type="expression" dxfId="34" priority="71">
      <formula>$AA$46=300</formula>
    </cfRule>
    <cfRule type="expression" dxfId="33" priority="103">
      <formula>$AA$46=2200</formula>
    </cfRule>
  </conditionalFormatting>
  <conditionalFormatting sqref="AC46">
    <cfRule type="expression" dxfId="32" priority="70">
      <formula>$AC$46=300</formula>
    </cfRule>
    <cfRule type="expression" dxfId="31" priority="102">
      <formula>$AC$46=2200</formula>
    </cfRule>
  </conditionalFormatting>
  <conditionalFormatting sqref="AG46">
    <cfRule type="expression" dxfId="30" priority="69">
      <formula>$AG$46=300</formula>
    </cfRule>
    <cfRule type="expression" dxfId="29" priority="101">
      <formula>$AG$46=2200</formula>
    </cfRule>
  </conditionalFormatting>
  <conditionalFormatting sqref="AI46">
    <cfRule type="expression" dxfId="28" priority="68">
      <formula>$AI$46=300</formula>
    </cfRule>
    <cfRule type="expression" dxfId="27" priority="100">
      <formula>$AI$46=2200</formula>
    </cfRule>
  </conditionalFormatting>
  <conditionalFormatting sqref="G50 AF55:AI55 U50:AC50">
    <cfRule type="expression" dxfId="26" priority="58">
      <formula>$G$50=550</formula>
    </cfRule>
    <cfRule type="expression" dxfId="25" priority="67">
      <formula>$G$50=850</formula>
    </cfRule>
    <cfRule type="expression" dxfId="24" priority="99">
      <formula>$G$50=3750</formula>
    </cfRule>
  </conditionalFormatting>
  <conditionalFormatting sqref="I50">
    <cfRule type="expression" dxfId="23" priority="56">
      <formula>$I$50=550</formula>
    </cfRule>
    <cfRule type="expression" dxfId="22" priority="65">
      <formula>$I$50=850</formula>
    </cfRule>
    <cfRule type="expression" dxfId="21" priority="97">
      <formula>$I$50=3750</formula>
    </cfRule>
  </conditionalFormatting>
  <conditionalFormatting sqref="K50">
    <cfRule type="expression" dxfId="20" priority="55">
      <formula>$K$50=550</formula>
    </cfRule>
    <cfRule type="expression" dxfId="19" priority="64">
      <formula>$K$50=850</formula>
    </cfRule>
    <cfRule type="expression" dxfId="18" priority="96">
      <formula>$K$50=3750</formula>
    </cfRule>
  </conditionalFormatting>
  <conditionalFormatting sqref="M50">
    <cfRule type="expression" dxfId="17" priority="54">
      <formula>$M$50=550</formula>
    </cfRule>
    <cfRule type="expression" dxfId="16" priority="63">
      <formula>$M$50=850</formula>
    </cfRule>
    <cfRule type="expression" dxfId="15" priority="95">
      <formula>$M$50=3750</formula>
    </cfRule>
  </conditionalFormatting>
  <conditionalFormatting sqref="O50">
    <cfRule type="expression" dxfId="14" priority="53">
      <formula>$O$50=550</formula>
    </cfRule>
    <cfRule type="expression" dxfId="13" priority="62">
      <formula>$O$50=850</formula>
    </cfRule>
    <cfRule type="expression" dxfId="12" priority="94">
      <formula>$O$50=3750</formula>
    </cfRule>
  </conditionalFormatting>
  <conditionalFormatting sqref="AG50">
    <cfRule type="expression" dxfId="11" priority="52">
      <formula>$AG$50=550</formula>
    </cfRule>
    <cfRule type="expression" dxfId="10" priority="61">
      <formula>$AG$50=850</formula>
    </cfRule>
    <cfRule type="expression" dxfId="9" priority="93">
      <formula>$AG$50=3750</formula>
    </cfRule>
  </conditionalFormatting>
  <conditionalFormatting sqref="AI50">
    <cfRule type="expression" dxfId="8" priority="51">
      <formula>$AI$50=550</formula>
    </cfRule>
    <cfRule type="expression" dxfId="7" priority="60">
      <formula>$AI$50=850</formula>
    </cfRule>
    <cfRule type="expression" dxfId="6" priority="92">
      <formula>$AI$50=3750</formula>
    </cfRule>
  </conditionalFormatting>
  <printOptions horizontalCentered="1" verticalCentered="1"/>
  <pageMargins left="0.25" right="0.25" top="0.75" bottom="0.75" header="0.3" footer="0.3"/>
  <pageSetup paperSize="9" scale="70" orientation="landscape" r:id="rId1"/>
  <ignoredErrors>
    <ignoredError sqref="S8:S9 J44:K44 N43 N38 N44:O44 N46:O46 K28:M29 L44:M44 K32:M43 K30:M30 G44:I44 K31:L31 U30:AC35 W40:AC42 U41:U42 W45:AC46 W51:AC51 W15:Y23 AA9:AA11 S11 I51:O51 K23 E23:J23 L23:O23" unlockedFormula="1"/>
    <ignoredError sqref="M31" formula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</sheetPr>
  <dimension ref="B5:R39"/>
  <sheetViews>
    <sheetView tabSelected="1" zoomScaleNormal="100" workbookViewId="0">
      <selection activeCell="N24" sqref="N24"/>
    </sheetView>
  </sheetViews>
  <sheetFormatPr baseColWidth="10" defaultRowHeight="12.75" x14ac:dyDescent="0.25"/>
  <cols>
    <col min="1" max="1" width="1.7109375" style="228" customWidth="1"/>
    <col min="2" max="2" width="30.7109375" style="228" customWidth="1"/>
    <col min="3" max="3" width="2.5703125" style="228" customWidth="1"/>
    <col min="4" max="4" width="20.85546875" style="228" customWidth="1"/>
    <col min="5" max="5" width="1.7109375" style="228" customWidth="1"/>
    <col min="6" max="6" width="13.7109375" style="228" customWidth="1"/>
    <col min="7" max="7" width="1.7109375" style="228" customWidth="1"/>
    <col min="8" max="8" width="13.7109375" style="228" customWidth="1"/>
    <col min="9" max="9" width="1.7109375" style="228" customWidth="1"/>
    <col min="10" max="10" width="13.7109375" style="228" customWidth="1"/>
    <col min="11" max="11" width="1.7109375" style="228" customWidth="1"/>
    <col min="12" max="12" width="13.7109375" style="228" customWidth="1"/>
    <col min="13" max="13" width="1.7109375" style="228" customWidth="1"/>
    <col min="14" max="14" width="13.7109375" style="228" customWidth="1"/>
    <col min="15" max="15" width="1.7109375" style="228" customWidth="1"/>
    <col min="16" max="16384" width="11.42578125" style="228"/>
  </cols>
  <sheetData>
    <row r="5" spans="2:14" x14ac:dyDescent="0.25">
      <c r="B5" s="242" t="s">
        <v>84</v>
      </c>
      <c r="C5" s="43"/>
      <c r="D5" s="242" t="s">
        <v>22</v>
      </c>
      <c r="E5" s="240"/>
      <c r="F5" s="240"/>
      <c r="G5" s="28"/>
      <c r="H5" s="242" t="s">
        <v>23</v>
      </c>
      <c r="I5" s="240"/>
      <c r="J5" s="240"/>
      <c r="K5" s="28"/>
      <c r="L5" s="242" t="s">
        <v>83</v>
      </c>
      <c r="M5" s="240"/>
      <c r="N5" s="240"/>
    </row>
    <row r="6" spans="2:14" x14ac:dyDescent="0.25">
      <c r="B6" s="229"/>
      <c r="C6" s="43"/>
      <c r="D6" s="230"/>
      <c r="E6" s="231"/>
      <c r="F6" s="231"/>
      <c r="G6" s="28"/>
      <c r="H6" s="230"/>
      <c r="I6" s="231"/>
      <c r="J6" s="231"/>
      <c r="K6" s="28"/>
      <c r="L6" s="230"/>
      <c r="M6" s="231"/>
      <c r="N6" s="231"/>
    </row>
    <row r="7" spans="2:14" x14ac:dyDescent="0.25">
      <c r="B7" s="27" t="s">
        <v>6</v>
      </c>
      <c r="C7" s="43"/>
      <c r="D7" s="235">
        <f>Données!E6</f>
        <v>0</v>
      </c>
      <c r="E7" s="235"/>
      <c r="F7" s="235"/>
      <c r="G7" s="28"/>
      <c r="H7" s="235">
        <f>Données!I6</f>
        <v>0</v>
      </c>
      <c r="I7" s="235"/>
      <c r="J7" s="235"/>
      <c r="K7" s="28"/>
      <c r="L7" s="235"/>
      <c r="M7" s="34"/>
      <c r="N7" s="34"/>
    </row>
    <row r="8" spans="2:14" x14ac:dyDescent="0.25">
      <c r="B8" s="27" t="s">
        <v>7</v>
      </c>
      <c r="C8" s="43"/>
      <c r="D8" s="235">
        <f>Données!E7</f>
        <v>0</v>
      </c>
      <c r="E8" s="235"/>
      <c r="F8" s="235"/>
      <c r="G8" s="28"/>
      <c r="H8" s="235">
        <f>Données!I7</f>
        <v>0</v>
      </c>
      <c r="I8" s="235"/>
      <c r="J8" s="235"/>
      <c r="K8" s="28"/>
      <c r="L8" s="235"/>
      <c r="M8" s="34"/>
      <c r="N8" s="34"/>
    </row>
    <row r="9" spans="2:14" x14ac:dyDescent="0.25">
      <c r="B9" s="27" t="s">
        <v>24</v>
      </c>
      <c r="C9" s="43"/>
      <c r="D9" s="235">
        <f>Données!E8</f>
        <v>0</v>
      </c>
      <c r="E9" s="235"/>
      <c r="F9" s="235"/>
      <c r="G9" s="28"/>
      <c r="H9" s="235">
        <f>Données!I8</f>
        <v>0</v>
      </c>
      <c r="I9" s="235"/>
      <c r="J9" s="235"/>
      <c r="K9" s="28"/>
      <c r="L9" s="235">
        <f>Données!M8</f>
        <v>0</v>
      </c>
      <c r="M9" s="235"/>
      <c r="N9" s="235"/>
    </row>
    <row r="10" spans="2:14" x14ac:dyDescent="0.25">
      <c r="B10" s="27" t="s">
        <v>25</v>
      </c>
      <c r="C10" s="232"/>
      <c r="D10" s="235">
        <f>Données!E9</f>
        <v>0</v>
      </c>
      <c r="E10" s="235"/>
      <c r="F10" s="235"/>
      <c r="G10" s="28"/>
      <c r="H10" s="235">
        <f>Données!I9</f>
        <v>0</v>
      </c>
      <c r="I10" s="235"/>
      <c r="J10" s="235"/>
      <c r="K10" s="28"/>
      <c r="L10" s="235">
        <f>Données!M9</f>
        <v>0</v>
      </c>
      <c r="M10" s="235"/>
      <c r="N10" s="235"/>
    </row>
    <row r="11" spans="2:14" ht="15" x14ac:dyDescent="0.25">
      <c r="B11" s="27" t="s">
        <v>26</v>
      </c>
      <c r="C11" s="43"/>
      <c r="D11" s="235">
        <f>Données!E10</f>
        <v>0</v>
      </c>
      <c r="E11" s="235"/>
      <c r="F11" s="235"/>
      <c r="G11" s="28"/>
      <c r="H11" s="235"/>
      <c r="I11" s="236"/>
      <c r="J11" s="236"/>
      <c r="K11" s="28"/>
      <c r="L11" s="235"/>
      <c r="M11" s="34"/>
      <c r="N11" s="34"/>
    </row>
    <row r="12" spans="2:14" ht="15" x14ac:dyDescent="0.25">
      <c r="B12" s="27" t="s">
        <v>27</v>
      </c>
      <c r="C12" s="43"/>
      <c r="D12" s="235">
        <f>Données!E11</f>
        <v>0</v>
      </c>
      <c r="E12" s="235"/>
      <c r="F12" s="235"/>
      <c r="G12" s="28"/>
      <c r="H12" s="235"/>
      <c r="I12" s="236"/>
      <c r="J12" s="236"/>
      <c r="K12" s="28"/>
      <c r="L12" s="235"/>
      <c r="M12" s="34"/>
      <c r="N12" s="34"/>
    </row>
    <row r="15" spans="2:14" x14ac:dyDescent="0.25">
      <c r="B15" s="243" t="s">
        <v>110</v>
      </c>
      <c r="D15" s="232" t="s">
        <v>103</v>
      </c>
    </row>
    <row r="17" spans="2:18" x14ac:dyDescent="0.25">
      <c r="B17" s="228" t="s">
        <v>118</v>
      </c>
      <c r="D17" s="39">
        <f>Données!S11</f>
        <v>170000</v>
      </c>
      <c r="R17" s="233"/>
    </row>
    <row r="18" spans="2:18" x14ac:dyDescent="0.25">
      <c r="B18" s="234" t="s">
        <v>111</v>
      </c>
      <c r="D18" s="39">
        <f>Données!U35</f>
        <v>16642.663</v>
      </c>
    </row>
    <row r="19" spans="2:18" x14ac:dyDescent="0.25">
      <c r="B19" s="233" t="s">
        <v>112</v>
      </c>
      <c r="D19" s="39">
        <f>Données!U42</f>
        <v>4542.3152000000009</v>
      </c>
    </row>
    <row r="20" spans="2:18" x14ac:dyDescent="0.25">
      <c r="B20" s="233" t="s">
        <v>113</v>
      </c>
      <c r="D20" s="39">
        <f>Données!G49</f>
        <v>3500</v>
      </c>
    </row>
    <row r="21" spans="2:18" x14ac:dyDescent="0.25">
      <c r="B21" s="228" t="s">
        <v>104</v>
      </c>
      <c r="D21" s="39">
        <f>Données!G50</f>
        <v>194684.97820000001</v>
      </c>
    </row>
    <row r="22" spans="2:18" x14ac:dyDescent="0.25">
      <c r="B22" s="235" t="s">
        <v>76</v>
      </c>
      <c r="D22" s="39">
        <f>Données!G51</f>
        <v>170000</v>
      </c>
    </row>
    <row r="23" spans="2:18" x14ac:dyDescent="0.25">
      <c r="B23" s="235" t="s">
        <v>114</v>
      </c>
      <c r="D23" s="237">
        <f>D21/D22</f>
        <v>1.145205754117647</v>
      </c>
    </row>
    <row r="28" spans="2:18" x14ac:dyDescent="0.25">
      <c r="B28" s="243" t="s">
        <v>107</v>
      </c>
      <c r="D28" s="238" t="s">
        <v>124</v>
      </c>
      <c r="F28" s="228" t="s">
        <v>105</v>
      </c>
      <c r="H28" s="247">
        <v>20</v>
      </c>
      <c r="J28" s="228" t="s">
        <v>106</v>
      </c>
      <c r="N28" s="37">
        <f>H28*12</f>
        <v>240</v>
      </c>
    </row>
    <row r="30" spans="2:18" x14ac:dyDescent="0.25">
      <c r="B30" s="239" t="s">
        <v>121</v>
      </c>
      <c r="D30" s="228" t="s">
        <v>108</v>
      </c>
      <c r="F30" s="244">
        <v>4.0899999999999999E-2</v>
      </c>
      <c r="H30" s="228" t="s">
        <v>109</v>
      </c>
      <c r="J30" s="245">
        <f>NOMINAL(F30,12)/12</f>
        <v>3.3460625725758586E-3</v>
      </c>
      <c r="L30" s="228" t="s">
        <v>43</v>
      </c>
      <c r="N30" s="246">
        <f>-PMT(F30/12,H28*12,D21,1)</f>
        <v>1189.0085202829007</v>
      </c>
    </row>
    <row r="31" spans="2:18" x14ac:dyDescent="0.25">
      <c r="B31" s="239" t="s">
        <v>122</v>
      </c>
      <c r="F31" s="278">
        <f ca="1">RATE(N28,N31,D21)*12</f>
        <v>0</v>
      </c>
      <c r="G31" s="279"/>
      <c r="H31" s="279" t="s">
        <v>109</v>
      </c>
      <c r="I31" s="279"/>
      <c r="J31" s="280">
        <f>J30+0.2466%</f>
        <v>5.8120625725758589E-3</v>
      </c>
      <c r="K31" s="279"/>
      <c r="L31" s="281" t="s">
        <v>123</v>
      </c>
      <c r="M31" s="279"/>
      <c r="N31" s="282">
        <f ca="1">-PMT(F31/12,H28*12,D21,1)</f>
        <v>3.632189456417116</v>
      </c>
    </row>
    <row r="32" spans="2:18" x14ac:dyDescent="0.25">
      <c r="H32" s="233"/>
    </row>
    <row r="36" spans="2:10" s="241" customFormat="1" ht="12" x14ac:dyDescent="0.25"/>
    <row r="37" spans="2:10" s="241" customFormat="1" ht="12" x14ac:dyDescent="0.25"/>
    <row r="38" spans="2:10" s="241" customFormat="1" ht="12" x14ac:dyDescent="0.25">
      <c r="B38" s="241" t="s">
        <v>119</v>
      </c>
    </row>
    <row r="39" spans="2:10" x14ac:dyDescent="0.25">
      <c r="B39" s="241" t="s">
        <v>120</v>
      </c>
      <c r="C39" s="241"/>
      <c r="D39" s="241"/>
      <c r="E39" s="241"/>
      <c r="F39" s="241"/>
      <c r="G39" s="241"/>
      <c r="H39" s="241"/>
      <c r="I39" s="241"/>
      <c r="J39" s="241"/>
    </row>
  </sheetData>
  <conditionalFormatting sqref="D19">
    <cfRule type="expression" dxfId="5" priority="6">
      <formula>$D$19=300</formula>
    </cfRule>
  </conditionalFormatting>
  <conditionalFormatting sqref="D20">
    <cfRule type="expression" dxfId="4" priority="5">
      <formula>$D$20=250</formula>
    </cfRule>
  </conditionalFormatting>
  <conditionalFormatting sqref="D21">
    <cfRule type="expression" dxfId="3" priority="4">
      <formula>$D$21=550</formula>
    </cfRule>
  </conditionalFormatting>
  <conditionalFormatting sqref="D17">
    <cfRule type="expression" dxfId="2" priority="3">
      <formula>$D$17=0</formula>
    </cfRule>
  </conditionalFormatting>
  <conditionalFormatting sqref="D18">
    <cfRule type="expression" dxfId="1" priority="2">
      <formula>$D$18=0</formula>
    </cfRule>
  </conditionalFormatting>
  <conditionalFormatting sqref="D22">
    <cfRule type="expression" dxfId="0" priority="1">
      <formula>$D$22=0</formula>
    </cfRule>
  </conditionalFormatting>
  <dataValidations count="2">
    <dataValidation type="list" allowBlank="1" showInputMessage="1" showErrorMessage="1" sqref="H28">
      <formula1>"10, 15, 20, 25, 30"</formula1>
    </dataValidation>
    <dataValidation type="list" allowBlank="1" showInputMessage="1" showErrorMessage="1" sqref="D28">
      <formula1>"Variable 1/1/1 - cap 3%, Variable 5/1/1 - cap 3%, Variable 10/1/1 -cap 3%, Fixe"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&amp;L&amp;G&amp;C
&amp;"Times New Roman,Normal"&amp;12Simulation de crédit d'habitation</oddHeader>
    <oddFooter xml:space="preserve">&amp;L&amp;"Times New Roman,Normal"&amp;10&amp;K03+000
Rue Jules Broeren, 52/1
1070 Bruxelles&amp;C&amp;"Times New Roman,Normal"&amp;10&amp;K03+000
JM Minne - Courtier
FSMA 20360&amp;R
&amp;"Times New Roman,Normal"&amp;10&amp;K03+000Gsm : 0473 / 574.189
Mail : info@jmminne.be&amp;"-,Normal"&amp;11&amp;K01+000 </oddFooter>
  </headerFooter>
  <ignoredErrors>
    <ignoredError sqref="D7:N12" unlockedFormula="1"/>
    <ignoredError sqref="D23" evalError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CF</vt:lpstr>
      <vt:lpstr>Données!Zone_d_impression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2011-08-20T17:48:25Z</cp:lastPrinted>
  <dcterms:created xsi:type="dcterms:W3CDTF">2008-03-12T18:15:50Z</dcterms:created>
  <dcterms:modified xsi:type="dcterms:W3CDTF">2011-08-22T12:10:09Z</dcterms:modified>
</cp:coreProperties>
</file>