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showSheetTabs="0" xWindow="195" yWindow="165" windowWidth="11955" windowHeight="6810" activeTab="2"/>
  </bookViews>
  <sheets>
    <sheet name="Notes" sheetId="2" r:id="rId1"/>
    <sheet name="Graph1" sheetId="3" r:id="rId2"/>
    <sheet name="Emprunt" sheetId="1" r:id="rId3"/>
  </sheets>
  <definedNames>
    <definedName name="AnneeCourante">Emprunt!$H1</definedName>
    <definedName name="AnneePrecedente">Emprunt!$H1048576</definedName>
    <definedName name="CapitalPrecedent">Emprunt!$K1048576</definedName>
    <definedName name="clAnnuite">Emprunt!$C$37</definedName>
    <definedName name="clCapital">Emprunt!$C$33</definedName>
    <definedName name="clDuree">Emprunt!$C$34</definedName>
    <definedName name="clFraisTotaux">Emprunt!#REF!</definedName>
    <definedName name="clieeCapital">Emprunt!#REF!</definedName>
    <definedName name="clieeTaux">Emprunt!#REF!</definedName>
    <definedName name="clTauxAnnuel">Emprunt!$C$35</definedName>
    <definedName name="clTauxGlobal">Emprunt!#REF!</definedName>
    <definedName name="PartCapital">Emprunt!$J1</definedName>
    <definedName name="PartInteret">Emprunt!$I1</definedName>
    <definedName name="Tableau">Emprunt!$I$4:$L$34</definedName>
  </definedNames>
  <calcPr calcId="145621"/>
</workbook>
</file>

<file path=xl/calcChain.xml><?xml version="1.0" encoding="utf-8"?>
<calcChain xmlns="http://schemas.openxmlformats.org/spreadsheetml/2006/main">
  <c r="AD60" i="1" l="1"/>
  <c r="AD61" i="1" s="1"/>
  <c r="AD59" i="1"/>
  <c r="AD58" i="1"/>
  <c r="AD63" i="1" s="1"/>
  <c r="AE58" i="1" l="1"/>
  <c r="AD62" i="1"/>
  <c r="AD64" i="1" s="1"/>
  <c r="F20" i="1"/>
  <c r="O59" i="1"/>
  <c r="Q76" i="1" s="1"/>
  <c r="O85" i="1"/>
  <c r="O82" i="1"/>
  <c r="O79" i="1"/>
  <c r="O76" i="1"/>
  <c r="O73" i="1"/>
  <c r="O70" i="1"/>
  <c r="F21" i="1"/>
  <c r="J59" i="1"/>
  <c r="K88" i="1" s="1"/>
  <c r="D61" i="1"/>
  <c r="D60" i="1"/>
  <c r="E73" i="1" s="1"/>
  <c r="D59" i="1"/>
  <c r="C70" i="1"/>
  <c r="C73" i="1"/>
  <c r="C76" i="1"/>
  <c r="C79" i="1"/>
  <c r="C82" i="1"/>
  <c r="C85" i="1"/>
  <c r="I70" i="1"/>
  <c r="I73" i="1"/>
  <c r="I76" i="1"/>
  <c r="I79" i="1"/>
  <c r="I82" i="1"/>
  <c r="I85" i="1"/>
  <c r="I6" i="1"/>
  <c r="I7" i="1" s="1"/>
  <c r="O60" i="1" l="1"/>
  <c r="Q80" i="1"/>
  <c r="Q74" i="1"/>
  <c r="Q88" i="1"/>
  <c r="O63" i="1"/>
  <c r="Q86" i="1"/>
  <c r="Q83" i="1"/>
  <c r="O64" i="1"/>
  <c r="I71" i="1"/>
  <c r="I74" i="1" s="1"/>
  <c r="I77" i="1" s="1"/>
  <c r="I80" i="1" s="1"/>
  <c r="I83" i="1" s="1"/>
  <c r="I86" i="1" s="1"/>
  <c r="Q79" i="1"/>
  <c r="E74" i="1"/>
  <c r="I8" i="1"/>
  <c r="O71" i="1"/>
  <c r="O74" i="1" s="1"/>
  <c r="O77" i="1" s="1"/>
  <c r="O80" i="1" s="1"/>
  <c r="O83" i="1" s="1"/>
  <c r="O86" i="1" s="1"/>
  <c r="Q71" i="1"/>
  <c r="Q70" i="1"/>
  <c r="Q82" i="1"/>
  <c r="Q73" i="1"/>
  <c r="Q77" i="1"/>
  <c r="K82" i="1"/>
  <c r="K74" i="1"/>
  <c r="C71" i="1"/>
  <c r="C74" i="1" s="1"/>
  <c r="C77" i="1" s="1"/>
  <c r="C80" i="1" s="1"/>
  <c r="C83" i="1" s="1"/>
  <c r="C86" i="1" s="1"/>
  <c r="E86" i="1"/>
  <c r="Q85" i="1"/>
  <c r="K79" i="1"/>
  <c r="E83" i="1"/>
  <c r="K73" i="1"/>
  <c r="K77" i="1"/>
  <c r="K83" i="1"/>
  <c r="J64" i="1"/>
  <c r="E76" i="1"/>
  <c r="E80" i="1"/>
  <c r="E77" i="1"/>
  <c r="K86" i="1"/>
  <c r="D62" i="1"/>
  <c r="J63" i="1"/>
  <c r="E82" i="1"/>
  <c r="K80" i="1"/>
  <c r="K71" i="1"/>
  <c r="E79" i="1"/>
  <c r="E70" i="1"/>
  <c r="J60" i="1"/>
  <c r="K70" i="1"/>
  <c r="E71" i="1"/>
  <c r="E88" i="1"/>
  <c r="K76" i="1"/>
  <c r="K85" i="1" l="1"/>
  <c r="K90" i="1" s="1"/>
  <c r="J61" i="1" s="1"/>
  <c r="J65" i="1" s="1"/>
  <c r="I9" i="1"/>
  <c r="Q90" i="1"/>
  <c r="O61" i="1" s="1"/>
  <c r="O65" i="1" s="1"/>
  <c r="E85" i="1"/>
  <c r="E90" i="1" s="1"/>
  <c r="D63" i="1" s="1"/>
  <c r="D65" i="1" s="1"/>
  <c r="I10" i="1" l="1"/>
  <c r="O66" i="1"/>
  <c r="F23" i="1" s="1"/>
  <c r="F24" i="1" s="1"/>
  <c r="D66" i="1"/>
  <c r="F11" i="1" s="1"/>
  <c r="J66" i="1"/>
  <c r="F13" i="1" s="1"/>
  <c r="I11" i="1" l="1"/>
  <c r="F14" i="1"/>
  <c r="F29" i="1" s="1"/>
  <c r="I12" i="1" l="1"/>
  <c r="C33" i="1"/>
  <c r="I13" i="1" l="1"/>
  <c r="C37" i="1"/>
  <c r="J5" i="1"/>
  <c r="I14" i="1" l="1"/>
  <c r="K5" i="1"/>
  <c r="C38" i="1"/>
  <c r="I15" i="1" l="1"/>
  <c r="L5" i="1"/>
  <c r="I16" i="1" l="1"/>
  <c r="J6" i="1"/>
  <c r="K6" i="1" l="1"/>
  <c r="I17" i="1"/>
  <c r="L6" i="1" l="1"/>
  <c r="J7" i="1" s="1"/>
  <c r="I18" i="1"/>
  <c r="K7" i="1" l="1"/>
  <c r="I19" i="1"/>
  <c r="L7" i="1" l="1"/>
  <c r="I20" i="1"/>
  <c r="J8" i="1" l="1"/>
  <c r="I21" i="1"/>
  <c r="K8" i="1" l="1"/>
  <c r="I22" i="1"/>
  <c r="L8" i="1" l="1"/>
  <c r="I23" i="1"/>
  <c r="J9" i="1" l="1"/>
  <c r="I24" i="1"/>
  <c r="K9" i="1" l="1"/>
  <c r="I25" i="1"/>
  <c r="L9" i="1" l="1"/>
  <c r="J10" i="1" s="1"/>
  <c r="I26" i="1"/>
  <c r="K25" i="1"/>
  <c r="K10" i="1" l="1"/>
  <c r="I27" i="1"/>
  <c r="K26" i="1"/>
  <c r="L10" i="1" l="1"/>
  <c r="J11" i="1" s="1"/>
  <c r="I28" i="1"/>
  <c r="K27" i="1"/>
  <c r="K11" i="1" l="1"/>
  <c r="L11" i="1" s="1"/>
  <c r="J12" i="1" s="1"/>
  <c r="K12" i="1" s="1"/>
  <c r="L12" i="1" s="1"/>
  <c r="K28" i="1"/>
  <c r="I29" i="1"/>
  <c r="J13" i="1" l="1"/>
  <c r="K13" i="1" s="1"/>
  <c r="L13" i="1" s="1"/>
  <c r="I30" i="1"/>
  <c r="K29" i="1"/>
  <c r="J14" i="1" l="1"/>
  <c r="K14" i="1" s="1"/>
  <c r="L14" i="1" s="1"/>
  <c r="I31" i="1"/>
  <c r="K30" i="1"/>
  <c r="J15" i="1" l="1"/>
  <c r="K15" i="1" s="1"/>
  <c r="L15" i="1" s="1"/>
  <c r="J16" i="1" s="1"/>
  <c r="K16" i="1" s="1"/>
  <c r="L16" i="1" s="1"/>
  <c r="J17" i="1" s="1"/>
  <c r="K17" i="1" s="1"/>
  <c r="L17" i="1" s="1"/>
  <c r="J18" i="1" s="1"/>
  <c r="K18" i="1" s="1"/>
  <c r="L18" i="1" s="1"/>
  <c r="J19" i="1" s="1"/>
  <c r="K19" i="1" s="1"/>
  <c r="L19" i="1" s="1"/>
  <c r="J20" i="1" s="1"/>
  <c r="K20" i="1" s="1"/>
  <c r="L20" i="1" s="1"/>
  <c r="I32" i="1"/>
  <c r="K31" i="1"/>
  <c r="J21" i="1" l="1"/>
  <c r="K21" i="1" s="1"/>
  <c r="L21" i="1" s="1"/>
  <c r="K32" i="1"/>
  <c r="I33" i="1"/>
  <c r="J22" i="1" l="1"/>
  <c r="K22" i="1" s="1"/>
  <c r="L22" i="1" s="1"/>
  <c r="J23" i="1" s="1"/>
  <c r="K23" i="1" s="1"/>
  <c r="L23" i="1" s="1"/>
  <c r="J24" i="1" s="1"/>
  <c r="K24" i="1" s="1"/>
  <c r="L24" i="1" s="1"/>
  <c r="I34" i="1"/>
  <c r="K34" i="1" s="1"/>
  <c r="K33" i="1"/>
  <c r="K35" i="1" l="1"/>
  <c r="J25" i="1"/>
  <c r="L25" i="1" s="1"/>
  <c r="J26" i="1" l="1"/>
  <c r="L26" i="1" s="1"/>
  <c r="J27" i="1" l="1"/>
  <c r="L27" i="1" s="1"/>
  <c r="J28" i="1" l="1"/>
  <c r="L28" i="1" s="1"/>
  <c r="J29" i="1" l="1"/>
  <c r="L29" i="1" s="1"/>
  <c r="J30" i="1" l="1"/>
  <c r="L30" i="1" s="1"/>
  <c r="J31" i="1" l="1"/>
  <c r="L31" i="1" s="1"/>
  <c r="J32" i="1" l="1"/>
  <c r="L32" i="1" s="1"/>
  <c r="J33" i="1" l="1"/>
  <c r="L33" i="1" s="1"/>
  <c r="J34" i="1" l="1"/>
  <c r="J35" i="1" s="1"/>
  <c r="L34" i="1" l="1"/>
</calcChain>
</file>

<file path=xl/comments1.xml><?xml version="1.0" encoding="utf-8"?>
<comments xmlns="http://schemas.openxmlformats.org/spreadsheetml/2006/main">
  <authors>
    <author>Hp</author>
  </authors>
  <commentList>
    <comment ref="F26" authorId="0">
      <text>
        <r>
          <rPr>
            <sz val="9"/>
            <color indexed="81"/>
            <rFont val="Tahoma"/>
            <family val="2"/>
          </rPr>
          <t xml:space="preserve">INSERER LES FONDS PROPRES A DISPOSITION
</t>
        </r>
      </text>
    </comment>
    <comment ref="F27" authorId="0">
      <text>
        <r>
          <rPr>
            <sz val="9"/>
            <color indexed="81"/>
            <rFont val="Tahoma"/>
            <family val="2"/>
          </rPr>
          <t xml:space="preserve">INSERER L'ACOMPTE PAYE
</t>
        </r>
      </text>
    </comment>
  </commentList>
</comments>
</file>

<file path=xl/sharedStrings.xml><?xml version="1.0" encoding="utf-8"?>
<sst xmlns="http://schemas.openxmlformats.org/spreadsheetml/2006/main" count="241" uniqueCount="176">
  <si>
    <t>Année</t>
  </si>
  <si>
    <t>Part intérêt</t>
  </si>
  <si>
    <t>Part capital</t>
  </si>
  <si>
    <t>Capital restant</t>
  </si>
  <si>
    <t>Annuité :</t>
  </si>
  <si>
    <t>Durée :</t>
  </si>
  <si>
    <t>Taux :</t>
  </si>
  <si>
    <t>Tableau de remboursement</t>
  </si>
  <si>
    <t xml:space="preserve">    DerniereLigne = [clDuree] + [Tableau].Row</t>
  </si>
  <si>
    <t xml:space="preserve">    End With</t>
  </si>
  <si>
    <t>End Sub</t>
  </si>
  <si>
    <r>
      <t>Sub</t>
    </r>
    <r>
      <rPr>
        <sz val="10"/>
        <rFont val="Arial"/>
        <family val="2"/>
      </rPr>
      <t xml:space="preserve"> FixerSeries()</t>
    </r>
  </si>
  <si>
    <r>
      <t xml:space="preserve">    </t>
    </r>
    <r>
      <rPr>
        <b/>
        <sz val="10"/>
        <rFont val="Arial"/>
        <family val="2"/>
      </rPr>
      <t>Dim</t>
    </r>
    <r>
      <rPr>
        <sz val="10"/>
        <rFont val="Arial"/>
        <family val="2"/>
      </rPr>
      <t xml:space="preserve"> DerniereLigne </t>
    </r>
    <r>
      <rPr>
        <b/>
        <sz val="10"/>
        <rFont val="Arial"/>
        <family val="2"/>
      </rPr>
      <t>As</t>
    </r>
    <r>
      <rPr>
        <sz val="10"/>
        <rFont val="Arial"/>
        <family val="2"/>
      </rPr>
      <t xml:space="preserve"> Integer</t>
    </r>
  </si>
  <si>
    <r>
      <t xml:space="preserve">    </t>
    </r>
    <r>
      <rPr>
        <b/>
        <sz val="10"/>
        <rFont val="Arial"/>
        <family val="2"/>
      </rPr>
      <t>With</t>
    </r>
    <r>
      <rPr>
        <sz val="10"/>
        <rFont val="Arial"/>
        <family val="2"/>
      </rPr>
      <t xml:space="preserve"> ActiveSheet.ChartObjects("Graphique 1").Chart</t>
    </r>
  </si>
  <si>
    <r>
      <t xml:space="preserve">        .SeriesCollection(1).Values = "=Emprunt!R8C4:R" </t>
    </r>
    <r>
      <rPr>
        <b/>
        <sz val="10"/>
        <rFont val="Arial"/>
        <family val="2"/>
      </rPr>
      <t>&amp;</t>
    </r>
    <r>
      <rPr>
        <sz val="10"/>
        <rFont val="Arial"/>
        <family val="2"/>
      </rPr>
      <t xml:space="preserve"> DerniereLigne </t>
    </r>
    <r>
      <rPr>
        <b/>
        <sz val="10"/>
        <rFont val="Arial"/>
        <family val="2"/>
      </rPr>
      <t>&amp;</t>
    </r>
    <r>
      <rPr>
        <sz val="10"/>
        <rFont val="Arial"/>
        <family val="2"/>
      </rPr>
      <t xml:space="preserve"> "C4"</t>
    </r>
  </si>
  <si>
    <r>
      <t xml:space="preserve">        .SeriesCollection(2).Values = "=Emprunt!R8C3:R" </t>
    </r>
    <r>
      <rPr>
        <b/>
        <sz val="10"/>
        <rFont val="Arial"/>
        <family val="2"/>
      </rPr>
      <t>&amp;</t>
    </r>
    <r>
      <rPr>
        <sz val="10"/>
        <rFont val="Arial"/>
        <family val="2"/>
      </rPr>
      <t xml:space="preserve"> DerniereLigne </t>
    </r>
    <r>
      <rPr>
        <b/>
        <sz val="10"/>
        <rFont val="Arial"/>
        <family val="2"/>
      </rPr>
      <t>&amp;</t>
    </r>
    <r>
      <rPr>
        <sz val="10"/>
        <rFont val="Arial"/>
        <family val="2"/>
      </rPr>
      <t xml:space="preserve"> "C3"</t>
    </r>
  </si>
  <si>
    <t>La feuille Emprunt permet de calculer l'annuité de remboursement d'un emprunt</t>
  </si>
  <si>
    <t>Les 3 paramètres d'entrée (capital emprunté, durée de l'emprunt et taux d'intérêt annuel)</t>
  </si>
  <si>
    <t>sont modifiables par des curseurs.</t>
  </si>
  <si>
    <t>Feuille Emprunt</t>
  </si>
  <si>
    <t>sous l'hypothèse de remboursements annuels de valeur constante (annuité).</t>
  </si>
  <si>
    <t>Leur modification entraîne la mise à jour de l'annuité et du tableau de remboursement</t>
  </si>
  <si>
    <t>qui est visualisé sous forme graphique en partie droite de la feuille.</t>
  </si>
  <si>
    <t>La durée est plafonnée à 20 ans. Il est possible de l'augmenter :</t>
  </si>
  <si>
    <t>-</t>
  </si>
  <si>
    <t xml:space="preserve">sélectionner dans la plage B8:E27 un nombre de lignes égal au nb d'années à ajouter </t>
  </si>
  <si>
    <t>valider "Edition / copier" puis "Insertion / Cellules copiées" (décaler vers le bas)</t>
  </si>
  <si>
    <t>"Format / Mise en forme conditionnelle") pour masquer les lignes non utiles du tableau</t>
  </si>
  <si>
    <t>de remboursement de l'emprunt : lorsque le numéro d'année de la ligne courante est</t>
  </si>
  <si>
    <t>supérieur au nombre d'année, on affecte la couleur grise au texte et au fond des cellules</t>
  </si>
  <si>
    <t>de la ligne.</t>
  </si>
  <si>
    <t>Cette feuille de calcul illustre l'utilisation de la mise en forme conditionnelle (menu</t>
  </si>
  <si>
    <t>Il est possible d'adapter automatiquement la largeur d'affichage du tableau au nombre</t>
  </si>
  <si>
    <t>effectif d'années en associant la procédure ci-dessous au curseur des durées :</t>
  </si>
  <si>
    <t>définir une nouvelle macro : "Outils / Macro / Macros"</t>
  </si>
  <si>
    <t>définir "FixerSeries" dans la zone "Nom de la macro" et cliquer sur "Créer"</t>
  </si>
  <si>
    <t>copier / coller le contenu ci-dessous dans la feuille-module créée</t>
  </si>
  <si>
    <t>associer la macro au curseur des durées :clic-droit / "Affecter une macro"</t>
  </si>
  <si>
    <t>'ROLE : fixer les plages de reference des 2 series d'histogrammes</t>
  </si>
  <si>
    <t>Claude Monteil - 26/01/2004</t>
  </si>
  <si>
    <t>Claude Monteil -26/01/2004</t>
  </si>
  <si>
    <t>augmenter la borne supérieure du curseur de durée : cliquer-droit dessus, valider</t>
  </si>
  <si>
    <t>l'option "Format de contrôle" et fixer la valeur maximale selon le nombre de lignes ajoutées</t>
  </si>
  <si>
    <t>Mensualité</t>
  </si>
  <si>
    <t>Total</t>
  </si>
  <si>
    <t>Prix d'achat</t>
  </si>
  <si>
    <t>Région d'achat</t>
  </si>
  <si>
    <t>Frais acte d'achat</t>
  </si>
  <si>
    <t>REFINANCEMENT</t>
  </si>
  <si>
    <t>Taux prêt à racheter</t>
  </si>
  <si>
    <t>Reste à rembourser</t>
  </si>
  <si>
    <t>Frais acte de crédit</t>
  </si>
  <si>
    <t>Fonds propres</t>
  </si>
  <si>
    <t>Acompte payé</t>
  </si>
  <si>
    <t>Montant du crédit hors frais de dossier</t>
  </si>
  <si>
    <t>Abattement</t>
  </si>
  <si>
    <t>Srdu</t>
  </si>
  <si>
    <t>Taux</t>
  </si>
  <si>
    <t>Différence</t>
  </si>
  <si>
    <t>Pallier</t>
  </si>
  <si>
    <t>Tva 21%</t>
  </si>
  <si>
    <t>Salaire conservateur</t>
  </si>
  <si>
    <t>Inscripition</t>
  </si>
  <si>
    <t>Frais divers</t>
  </si>
  <si>
    <t>Honoraire</t>
  </si>
  <si>
    <t>Frais enregistrement + 10 %</t>
  </si>
  <si>
    <t>Total acte d'achat</t>
  </si>
  <si>
    <t>honoraire</t>
  </si>
  <si>
    <t xml:space="preserve">Frais d'enregistrement </t>
  </si>
  <si>
    <t>Acte d'achat</t>
  </si>
  <si>
    <t>Acte de crédit</t>
  </si>
  <si>
    <t>Bruxelles</t>
  </si>
  <si>
    <t>Wallonie</t>
  </si>
  <si>
    <t>Flandre</t>
  </si>
  <si>
    <t>Droits d'enregistrement en %</t>
  </si>
  <si>
    <t>Frais de main levée</t>
  </si>
  <si>
    <t xml:space="preserve">Indemnité de remploi </t>
  </si>
  <si>
    <t>Travaux Tva 6% comprise</t>
  </si>
  <si>
    <t>Total acte de crédit</t>
  </si>
  <si>
    <t>Montant hors acte de crédit</t>
  </si>
  <si>
    <t>% droits d'enregistrements</t>
  </si>
  <si>
    <t>Montant prêt initial</t>
  </si>
  <si>
    <t>Arlon</t>
  </si>
  <si>
    <t>Assesse</t>
  </si>
  <si>
    <t>Aubel</t>
  </si>
  <si>
    <t>Beauvechain</t>
  </si>
  <si>
    <t>Braine-l’Alleud</t>
  </si>
  <si>
    <t>Braine-le-Château</t>
  </si>
  <si>
    <t>Chastre</t>
  </si>
  <si>
    <t>Chaumont-Gistoux</t>
  </si>
  <si>
    <t>Court-Saint-Etienne</t>
  </si>
  <si>
    <t>Donceel</t>
  </si>
  <si>
    <t>Eghezée</t>
  </si>
  <si>
    <t>Erezée</t>
  </si>
  <si>
    <t>Gembloux</t>
  </si>
  <si>
    <t>Genappe</t>
  </si>
  <si>
    <t>Grez-Doiceau</t>
  </si>
  <si>
    <t>Hélécine</t>
  </si>
  <si>
    <t xml:space="preserve"> Incourt</t>
  </si>
  <si>
    <t xml:space="preserve"> Ittre</t>
  </si>
  <si>
    <t>Jalhay</t>
  </si>
  <si>
    <t>Jodoigne</t>
  </si>
  <si>
    <t>La Hulpe</t>
  </si>
  <si>
    <t>Lasne</t>
  </si>
  <si>
    <t>Mont-Saint-Guibert</t>
  </si>
  <si>
    <t>Namur</t>
  </si>
  <si>
    <t>Nivelles</t>
  </si>
  <si>
    <t>Orp-Jauche</t>
  </si>
  <si>
    <t>Ottignies-Louvain-la-Neuve</t>
  </si>
  <si>
    <t>Perwez</t>
  </si>
  <si>
    <t>Profondville</t>
  </si>
  <si>
    <t>Ramillies</t>
  </si>
  <si>
    <t>Rixensart</t>
  </si>
  <si>
    <t>Sainte-Ode</t>
  </si>
  <si>
    <t>Silly</t>
  </si>
  <si>
    <t>Thimister-Clermont</t>
  </si>
  <si>
    <t>Villers-la-Ville</t>
  </si>
  <si>
    <t>Walhain</t>
  </si>
  <si>
    <t>Waterloo</t>
  </si>
  <si>
    <t>Wavre</t>
  </si>
  <si>
    <t>Zone de pression immobilière</t>
  </si>
  <si>
    <t>Code postal</t>
  </si>
  <si>
    <t>Revenu cadastral non indexé</t>
  </si>
  <si>
    <t>Nombre d'enfants à charge</t>
  </si>
  <si>
    <t>Zone de pression ?</t>
  </si>
  <si>
    <t>Rev cadastral pour réduction</t>
  </si>
  <si>
    <t>Reduction enfants</t>
  </si>
  <si>
    <t>Droits d'enregistrement</t>
  </si>
  <si>
    <t>Calculette frais d'acte d'achat</t>
  </si>
  <si>
    <t>Calculette frais d'acte de crédit</t>
  </si>
  <si>
    <t>Calculette acte de crédit refinancement</t>
  </si>
  <si>
    <t>Région</t>
  </si>
  <si>
    <t>Taux droits</t>
  </si>
  <si>
    <t>Abattement complémentaire en Flandre de:</t>
  </si>
  <si>
    <t xml:space="preserve">Bruxelles </t>
  </si>
  <si>
    <t>12,5% quelque soit le revenu cadastral (RC) non indexé</t>
  </si>
  <si>
    <t xml:space="preserve">Flandre </t>
  </si>
  <si>
    <t xml:space="preserve">10% si RC &gt; 745 €  </t>
  </si>
  <si>
    <t xml:space="preserve">Arlon, Assesse, Aubel, Beauvechain, Braine-l’Alleud, Braine-le-Château, Chastre, Chaumont-Gistoux,   </t>
  </si>
  <si>
    <t>Court-Saint-Etienne, Donceel, Eghezée, Erezée, Gembloux, Genappe,Grez-Doiceau, Hélécine,  Incourt, Ittre,</t>
  </si>
  <si>
    <t>Jalhay, Jodoigne, La Hulpe, Lasne, Mont-Saint-Guibert, Namur, Nivelles, Orp-Jauche, Ottignies-Louvain-la-Neuve,</t>
  </si>
  <si>
    <t xml:space="preserve">Perwez, Pofondville, Ramillies, Rixensart, Sainte-Ode, Silly, Thimister-Clermont, Villers-la-Ville, </t>
  </si>
  <si>
    <t>Walhain, Waterloo et Wavre</t>
  </si>
  <si>
    <t>Exemple pour les droits d'enregistrement sur un achat de 200.000 € en Wallonie</t>
  </si>
  <si>
    <t>Achat sans réduction</t>
  </si>
  <si>
    <t>Achat zone pression immobilière</t>
  </si>
  <si>
    <t>Achat non zone immobilière</t>
  </si>
  <si>
    <t>160.000 € *6% = 9.600 €</t>
  </si>
  <si>
    <t>150.00 € *6% = 9.000 €</t>
  </si>
  <si>
    <t>40.000 € *12,5% = 5.000 €</t>
  </si>
  <si>
    <t>50.000 € * 12,5% = 3.000 €</t>
  </si>
  <si>
    <r>
      <t>9.600 € + 5.000 € =</t>
    </r>
    <r>
      <rPr>
        <sz val="10"/>
        <color rgb="FFFF0000"/>
        <rFont val="Calibri"/>
        <family val="2"/>
        <scheme val="minor"/>
      </rPr>
      <t xml:space="preserve"> 14.500 €</t>
    </r>
  </si>
  <si>
    <r>
      <t xml:space="preserve">9.000 € + 3.000 € = </t>
    </r>
    <r>
      <rPr>
        <sz val="10"/>
        <color rgb="FFFF0000"/>
        <rFont val="Calibri"/>
        <family val="2"/>
        <scheme val="minor"/>
      </rPr>
      <t>12.000 €</t>
    </r>
  </si>
  <si>
    <t>Code postal zone de pression immobilière</t>
  </si>
  <si>
    <t>Crédit :</t>
  </si>
  <si>
    <t>Plan financier</t>
  </si>
  <si>
    <t>Resultat taux fixe</t>
  </si>
  <si>
    <t>Si le RC non indexé est de = &gt; 746 €, l'acquéreur de l'immeuble paiera 12,5%.</t>
  </si>
  <si>
    <t>A bruxelles pour le 1 achat (unique habitation) l'emprunteur bénéficie d'un abattement sur les droits d'enregistrement de 60.000 €</t>
  </si>
  <si>
    <t>Abattement pour achat unique habitation</t>
  </si>
  <si>
    <t>En flandre pour le 1 achat (unique habitation) l'abbatement est de 15.000 €, En Wallonie il n'y a pas d'abattement,</t>
  </si>
  <si>
    <t>Si l'emprunteur est déjà propriétaire il n'y a pas de droit à l'abattement.</t>
  </si>
  <si>
    <t>5% si RC non indexé &lt; 745 € et 1 ou 2 enfants à charge</t>
  </si>
  <si>
    <t>5% si RC non indexé &lt; 845 € et 3 ou 4 enfants à charge</t>
  </si>
  <si>
    <t>5% si RC non indexé  &lt; 1.045 € et 7 ou plus d'enfants à charge</t>
  </si>
  <si>
    <t>5% si RC non indexé &lt; 945 € et 5 ou 6 enfants à charge</t>
  </si>
  <si>
    <t>Si l'achat de l'unique habitation se situ dans une zone de pression mobilière l'emprunteur a droit au taux réduit de 6%</t>
  </si>
  <si>
    <t>Les premiers 160.000 € bénéficient du taux réduit de 6%, Au dela le taux s'élève à 12,5%,  Ces zones sont</t>
  </si>
  <si>
    <t>En dehors d’une de ces zones la tranche pouvant bénéficier du taux réduit = 150.000 €. Au dela le taux est de 12,5%</t>
  </si>
  <si>
    <t>Conditions pour obtenir le taux réduit</t>
  </si>
  <si>
    <t>Si RC non indexé &lt; 745 € et pas plus de 2 enfants</t>
  </si>
  <si>
    <t>ou RC non indexé &lt; 845 € et 3 à 4 enfants - RC non indexé &lt; 945 € et 5 à 6 enfants</t>
  </si>
  <si>
    <t>ou 6% si RC non indexé  &lt; 1.045 € et 7 ou plus d'enfants</t>
  </si>
  <si>
    <r>
      <t xml:space="preserve">200.000 € *12,5% = </t>
    </r>
    <r>
      <rPr>
        <sz val="10"/>
        <color rgb="FFFF0000"/>
        <rFont val="Calibri"/>
        <family val="2"/>
        <scheme val="minor"/>
      </rPr>
      <t>25.000 €</t>
    </r>
  </si>
  <si>
    <t>si le taux des droits d'enregistrement est de 10% (RC &gt; 745 € )</t>
  </si>
  <si>
    <t>si le taux est de 5% (RC &lt; 745 €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</si>
</sst>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6" formatCode="#,##0\ &quot;€&quot;;[Red]\-#,##0\ &quot;€&quot;"/>
    <numFmt numFmtId="164" formatCode="#,##0.00\ &quot;F&quot;;[Red]\-#,##0.00\ &quot;F&quot;"/>
    <numFmt numFmtId="165" formatCode="_-* #,##0.00\ _F_-;\-* #,##0.00\ _F_-;_-* &quot;-&quot;??\ _F_-;_-@_-"/>
    <numFmt numFmtId="166" formatCode="0&quot; ans&quot;"/>
    <numFmt numFmtId="167" formatCode="#,##0.00\ _€"/>
    <numFmt numFmtId="168" formatCode="#,##0.00\ &quot;€&quot;"/>
    <numFmt numFmtId="169" formatCode="#,##0\ _€"/>
    <numFmt numFmtId="170" formatCode="&quot;€&quot;#,##0.00"/>
  </numFmts>
  <fonts count="49" x14ac:knownFonts="1">
    <font>
      <sz val="10"/>
      <name val="Times New Roman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name val="Times New Roman"/>
      <family val="1"/>
    </font>
    <font>
      <sz val="8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0"/>
      <color indexed="57"/>
      <name val="Arial"/>
      <family val="2"/>
    </font>
    <font>
      <sz val="12"/>
      <name val="Arial"/>
      <family val="2"/>
    </font>
    <font>
      <u/>
      <sz val="10"/>
      <color indexed="12"/>
      <name val="Times New Roman"/>
      <family val="1"/>
    </font>
    <font>
      <b/>
      <u/>
      <sz val="12"/>
      <color indexed="12"/>
      <name val="Times New Roman"/>
      <family val="1"/>
    </font>
    <font>
      <b/>
      <u/>
      <sz val="14"/>
      <color indexed="12"/>
      <name val="Times New Roman"/>
      <family val="1"/>
    </font>
    <font>
      <sz val="9"/>
      <color indexed="81"/>
      <name val="Tahoma"/>
      <family val="2"/>
    </font>
    <font>
      <sz val="14"/>
      <name val="Times New Roman"/>
      <family val="1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rgb="FF0070C0"/>
      <name val="Calibri"/>
      <family val="2"/>
    </font>
    <font>
      <i/>
      <sz val="10"/>
      <color rgb="FF0070C0"/>
      <name val="Calibri"/>
      <family val="2"/>
    </font>
    <font>
      <i/>
      <sz val="10"/>
      <color theme="0" tint="-0.499984740745262"/>
      <name val="Calibri"/>
      <family val="2"/>
    </font>
    <font>
      <b/>
      <sz val="10"/>
      <color rgb="FF0070C0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b/>
      <i/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  <font>
      <i/>
      <sz val="10"/>
      <color theme="1"/>
      <name val="Calibri"/>
      <family val="2"/>
    </font>
    <font>
      <sz val="12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2"/>
      <color rgb="FF0070C0"/>
      <name val="Calibri"/>
      <family val="2"/>
    </font>
    <font>
      <sz val="10"/>
      <name val="Calibri"/>
      <family val="2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</font>
    <font>
      <sz val="10"/>
      <color rgb="FFFF0000"/>
      <name val="Times New Roman"/>
      <family val="1"/>
    </font>
    <font>
      <b/>
      <sz val="10"/>
      <color rgb="FF0070C0"/>
      <name val="Calibri"/>
      <family val="2"/>
      <scheme val="minor"/>
    </font>
    <font>
      <b/>
      <u/>
      <sz val="10"/>
      <color rgb="FF00B050"/>
      <name val="Calibri"/>
      <family val="2"/>
      <scheme val="minor"/>
    </font>
    <font>
      <sz val="10"/>
      <color rgb="FF0070C0"/>
      <name val="Calibri"/>
      <family val="2"/>
      <scheme val="minor"/>
    </font>
    <font>
      <i/>
      <sz val="10"/>
      <color theme="5" tint="-0.249977111117893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FF0000"/>
      <name val="Arial"/>
      <family val="2"/>
    </font>
    <font>
      <sz val="12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indexed="3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C99"/>
      </patternFill>
    </fill>
    <fill>
      <patternFill patternType="solid">
        <fgColor theme="7" tint="0.79998168889431442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rgb="FF0070C0"/>
      </left>
      <right/>
      <top style="hair">
        <color rgb="FF0070C0"/>
      </top>
      <bottom/>
      <diagonal/>
    </border>
    <border>
      <left/>
      <right/>
      <top style="hair">
        <color rgb="FF0070C0"/>
      </top>
      <bottom/>
      <diagonal/>
    </border>
    <border>
      <left/>
      <right style="hair">
        <color rgb="FF0070C0"/>
      </right>
      <top style="hair">
        <color rgb="FF0070C0"/>
      </top>
      <bottom/>
      <diagonal/>
    </border>
    <border>
      <left style="hair">
        <color rgb="FF0070C0"/>
      </left>
      <right/>
      <top/>
      <bottom/>
      <diagonal/>
    </border>
    <border>
      <left/>
      <right style="hair">
        <color rgb="FF0070C0"/>
      </right>
      <top/>
      <bottom/>
      <diagonal/>
    </border>
    <border>
      <left style="hair">
        <color rgb="FF0070C0"/>
      </left>
      <right/>
      <top/>
      <bottom style="hair">
        <color rgb="FF0070C0"/>
      </bottom>
      <diagonal/>
    </border>
    <border>
      <left/>
      <right/>
      <top/>
      <bottom style="hair">
        <color rgb="FF0070C0"/>
      </bottom>
      <diagonal/>
    </border>
    <border>
      <left/>
      <right style="hair">
        <color rgb="FF0070C0"/>
      </right>
      <top/>
      <bottom style="hair">
        <color rgb="FF0070C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165" fontId="4" fillId="0" borderId="0" applyFont="0" applyFill="0" applyBorder="0" applyAlignment="0" applyProtection="0"/>
    <xf numFmtId="0" fontId="31" fillId="14" borderId="25" applyNumberFormat="0" applyAlignment="0" applyProtection="0"/>
  </cellStyleXfs>
  <cellXfs count="193">
    <xf numFmtId="0" fontId="0" fillId="0" borderId="0" xfId="0"/>
    <xf numFmtId="0" fontId="6" fillId="0" borderId="0" xfId="0" applyFont="1"/>
    <xf numFmtId="0" fontId="7" fillId="0" borderId="0" xfId="0" applyFont="1"/>
    <xf numFmtId="0" fontId="9" fillId="0" borderId="0" xfId="0" applyFont="1"/>
    <xf numFmtId="0" fontId="11" fillId="0" borderId="0" xfId="1" applyFont="1" applyAlignment="1" applyProtection="1"/>
    <xf numFmtId="0" fontId="9" fillId="0" borderId="0" xfId="0" quotePrefix="1" applyFont="1" applyAlignment="1">
      <alignment horizontal="right"/>
    </xf>
    <xf numFmtId="0" fontId="8" fillId="0" borderId="0" xfId="0" quotePrefix="1" applyFont="1"/>
    <xf numFmtId="0" fontId="10" fillId="0" borderId="0" xfId="1" applyAlignment="1" applyProtection="1">
      <alignment horizontal="right"/>
    </xf>
    <xf numFmtId="0" fontId="10" fillId="0" borderId="0" xfId="1" applyFont="1" applyAlignment="1" applyProtection="1"/>
    <xf numFmtId="0" fontId="12" fillId="0" borderId="0" xfId="1" applyFont="1" applyAlignment="1" applyProtection="1"/>
    <xf numFmtId="0" fontId="15" fillId="0" borderId="0" xfId="0" applyFont="1"/>
    <xf numFmtId="0" fontId="15" fillId="2" borderId="2" xfId="0" applyFont="1" applyFill="1" applyBorder="1" applyAlignment="1">
      <alignment horizontal="center"/>
    </xf>
    <xf numFmtId="0" fontId="15" fillId="2" borderId="3" xfId="0" applyFont="1" applyFill="1" applyBorder="1" applyAlignment="1">
      <alignment horizontal="center"/>
    </xf>
    <xf numFmtId="0" fontId="15" fillId="9" borderId="0" xfId="0" applyFont="1" applyFill="1" applyBorder="1"/>
    <xf numFmtId="0" fontId="16" fillId="10" borderId="1" xfId="0" applyFont="1" applyFill="1" applyBorder="1" applyAlignment="1">
      <alignment horizontal="center" vertical="center"/>
    </xf>
    <xf numFmtId="0" fontId="16" fillId="4" borderId="1" xfId="0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164" fontId="16" fillId="6" borderId="1" xfId="0" applyNumberFormat="1" applyFont="1" applyFill="1" applyBorder="1" applyAlignment="1">
      <alignment horizontal="center" vertical="center"/>
    </xf>
    <xf numFmtId="168" fontId="18" fillId="7" borderId="2" xfId="0" applyNumberFormat="1" applyFont="1" applyFill="1" applyBorder="1" applyAlignment="1">
      <alignment horizontal="center" vertical="center"/>
    </xf>
    <xf numFmtId="168" fontId="15" fillId="3" borderId="2" xfId="0" applyNumberFormat="1" applyFont="1" applyFill="1" applyBorder="1" applyAlignment="1">
      <alignment horizontal="center" vertical="center"/>
    </xf>
    <xf numFmtId="168" fontId="15" fillId="8" borderId="2" xfId="0" applyNumberFormat="1" applyFont="1" applyFill="1" applyBorder="1" applyAlignment="1">
      <alignment horizontal="center" vertical="center"/>
    </xf>
    <xf numFmtId="168" fontId="18" fillId="7" borderId="3" xfId="0" applyNumberFormat="1" applyFont="1" applyFill="1" applyBorder="1" applyAlignment="1">
      <alignment horizontal="center" vertical="center"/>
    </xf>
    <xf numFmtId="168" fontId="15" fillId="3" borderId="3" xfId="0" applyNumberFormat="1" applyFont="1" applyFill="1" applyBorder="1" applyAlignment="1">
      <alignment horizontal="center" vertical="center"/>
    </xf>
    <xf numFmtId="168" fontId="15" fillId="8" borderId="3" xfId="0" applyNumberFormat="1" applyFont="1" applyFill="1" applyBorder="1" applyAlignment="1">
      <alignment horizontal="center" vertical="center"/>
    </xf>
    <xf numFmtId="168" fontId="17" fillId="7" borderId="1" xfId="0" applyNumberFormat="1" applyFont="1" applyFill="1" applyBorder="1" applyAlignment="1">
      <alignment horizontal="center" vertical="center"/>
    </xf>
    <xf numFmtId="168" fontId="16" fillId="3" borderId="1" xfId="0" applyNumberFormat="1" applyFont="1" applyFill="1" applyBorder="1" applyAlignment="1">
      <alignment horizontal="center" vertical="center"/>
    </xf>
    <xf numFmtId="168" fontId="15" fillId="0" borderId="0" xfId="0" applyNumberFormat="1" applyFont="1" applyAlignment="1">
      <alignment horizontal="center" vertical="center"/>
    </xf>
    <xf numFmtId="0" fontId="16" fillId="9" borderId="1" xfId="0" applyFont="1" applyFill="1" applyBorder="1" applyAlignment="1">
      <alignment horizontal="center"/>
    </xf>
    <xf numFmtId="0" fontId="19" fillId="9" borderId="0" xfId="0" applyFont="1" applyFill="1" applyAlignment="1">
      <alignment vertical="center"/>
    </xf>
    <xf numFmtId="0" fontId="20" fillId="9" borderId="0" xfId="0" applyFont="1" applyFill="1" applyBorder="1" applyAlignment="1">
      <alignment horizontal="left" vertical="center"/>
    </xf>
    <xf numFmtId="167" fontId="19" fillId="9" borderId="0" xfId="0" applyNumberFormat="1" applyFont="1" applyFill="1" applyBorder="1" applyAlignment="1">
      <alignment horizontal="center" vertical="center"/>
    </xf>
    <xf numFmtId="10" fontId="19" fillId="9" borderId="0" xfId="0" applyNumberFormat="1" applyFont="1" applyFill="1" applyBorder="1" applyAlignment="1">
      <alignment horizontal="center" vertical="center"/>
    </xf>
    <xf numFmtId="0" fontId="19" fillId="9" borderId="0" xfId="0" applyFont="1" applyFill="1" applyBorder="1" applyAlignment="1">
      <alignment horizontal="center" vertical="center"/>
    </xf>
    <xf numFmtId="9" fontId="19" fillId="9" borderId="0" xfId="0" applyNumberFormat="1" applyFont="1" applyFill="1" applyBorder="1" applyAlignment="1">
      <alignment horizontal="center" vertical="center"/>
    </xf>
    <xf numFmtId="0" fontId="21" fillId="9" borderId="0" xfId="0" applyFont="1" applyFill="1" applyBorder="1" applyAlignment="1">
      <alignment horizontal="left" vertical="center"/>
    </xf>
    <xf numFmtId="9" fontId="19" fillId="0" borderId="0" xfId="0" applyNumberFormat="1" applyFont="1" applyFill="1" applyBorder="1" applyAlignment="1">
      <alignment horizontal="center" vertical="center"/>
    </xf>
    <xf numFmtId="167" fontId="20" fillId="9" borderId="0" xfId="0" applyNumberFormat="1" applyFont="1" applyFill="1" applyBorder="1" applyAlignment="1">
      <alignment horizontal="center" vertical="center"/>
    </xf>
    <xf numFmtId="0" fontId="23" fillId="9" borderId="0" xfId="0" applyFont="1" applyFill="1" applyAlignment="1">
      <alignment vertical="center"/>
    </xf>
    <xf numFmtId="0" fontId="23" fillId="9" borderId="0" xfId="0" applyFont="1" applyFill="1" applyBorder="1" applyAlignment="1">
      <alignment horizontal="left" vertical="center"/>
    </xf>
    <xf numFmtId="0" fontId="19" fillId="9" borderId="0" xfId="0" applyFont="1" applyFill="1" applyBorder="1" applyAlignment="1">
      <alignment vertical="center"/>
    </xf>
    <xf numFmtId="0" fontId="15" fillId="0" borderId="0" xfId="0" applyFont="1" applyBorder="1"/>
    <xf numFmtId="166" fontId="16" fillId="9" borderId="1" xfId="0" applyNumberFormat="1" applyFont="1" applyFill="1" applyBorder="1" applyAlignment="1">
      <alignment horizontal="center" vertical="center"/>
    </xf>
    <xf numFmtId="10" fontId="16" fillId="9" borderId="4" xfId="0" applyNumberFormat="1" applyFont="1" applyFill="1" applyBorder="1" applyAlignment="1">
      <alignment horizontal="center" vertical="center"/>
    </xf>
    <xf numFmtId="168" fontId="24" fillId="9" borderId="2" xfId="0" applyNumberFormat="1" applyFont="1" applyFill="1" applyBorder="1" applyAlignment="1">
      <alignment horizontal="center" vertical="center"/>
    </xf>
    <xf numFmtId="0" fontId="24" fillId="9" borderId="3" xfId="0" applyFont="1" applyFill="1" applyBorder="1" applyAlignment="1">
      <alignment horizontal="center" vertical="center"/>
    </xf>
    <xf numFmtId="168" fontId="24" fillId="9" borderId="5" xfId="0" applyNumberFormat="1" applyFont="1" applyFill="1" applyBorder="1" applyAlignment="1">
      <alignment horizontal="center" vertical="center"/>
    </xf>
    <xf numFmtId="0" fontId="24" fillId="9" borderId="0" xfId="0" applyFont="1" applyFill="1" applyBorder="1" applyAlignment="1">
      <alignment horizontal="center" vertical="center"/>
    </xf>
    <xf numFmtId="168" fontId="24" fillId="9" borderId="3" xfId="0" applyNumberFormat="1" applyFont="1" applyFill="1" applyBorder="1" applyAlignment="1">
      <alignment horizontal="center" vertical="center"/>
    </xf>
    <xf numFmtId="168" fontId="25" fillId="9" borderId="3" xfId="0" applyNumberFormat="1" applyFont="1" applyFill="1" applyBorder="1" applyAlignment="1">
      <alignment horizontal="center" vertical="center"/>
    </xf>
    <xf numFmtId="10" fontId="24" fillId="9" borderId="3" xfId="0" applyNumberFormat="1" applyFont="1" applyFill="1" applyBorder="1" applyAlignment="1">
      <alignment horizontal="center" vertical="center"/>
    </xf>
    <xf numFmtId="0" fontId="23" fillId="9" borderId="0" xfId="0" applyFont="1" applyFill="1" applyBorder="1" applyAlignment="1">
      <alignment vertical="center"/>
    </xf>
    <xf numFmtId="168" fontId="24" fillId="9" borderId="0" xfId="0" applyNumberFormat="1" applyFont="1" applyFill="1" applyBorder="1" applyAlignment="1">
      <alignment horizontal="center" vertical="center"/>
    </xf>
    <xf numFmtId="168" fontId="24" fillId="9" borderId="1" xfId="2" applyNumberFormat="1" applyFont="1" applyFill="1" applyBorder="1" applyAlignment="1">
      <alignment horizontal="center" vertical="center"/>
    </xf>
    <xf numFmtId="168" fontId="16" fillId="0" borderId="0" xfId="0" applyNumberFormat="1" applyFont="1" applyAlignment="1">
      <alignment horizontal="center" vertical="center"/>
    </xf>
    <xf numFmtId="168" fontId="25" fillId="9" borderId="5" xfId="0" applyNumberFormat="1" applyFont="1" applyFill="1" applyBorder="1" applyAlignment="1">
      <alignment horizontal="center" vertical="center"/>
    </xf>
    <xf numFmtId="168" fontId="16" fillId="9" borderId="6" xfId="0" applyNumberFormat="1" applyFont="1" applyFill="1" applyBorder="1" applyAlignment="1">
      <alignment horizontal="center" vertical="center"/>
    </xf>
    <xf numFmtId="168" fontId="16" fillId="9" borderId="7" xfId="0" applyNumberFormat="1" applyFont="1" applyFill="1" applyBorder="1" applyAlignment="1">
      <alignment horizontal="center" vertical="center"/>
    </xf>
    <xf numFmtId="0" fontId="27" fillId="9" borderId="0" xfId="0" applyFont="1" applyFill="1" applyBorder="1"/>
    <xf numFmtId="0" fontId="27" fillId="0" borderId="0" xfId="0" applyFont="1" applyBorder="1"/>
    <xf numFmtId="0" fontId="27" fillId="0" borderId="0" xfId="0" applyFont="1"/>
    <xf numFmtId="168" fontId="27" fillId="0" borderId="0" xfId="0" applyNumberFormat="1" applyFont="1" applyBorder="1"/>
    <xf numFmtId="10" fontId="27" fillId="0" borderId="0" xfId="0" applyNumberFormat="1" applyFont="1" applyBorder="1" applyAlignment="1">
      <alignment horizontal="center" vertical="center"/>
    </xf>
    <xf numFmtId="169" fontId="27" fillId="0" borderId="0" xfId="0" applyNumberFormat="1" applyFont="1" applyFill="1" applyBorder="1"/>
    <xf numFmtId="2" fontId="27" fillId="0" borderId="0" xfId="0" applyNumberFormat="1" applyFont="1" applyFill="1" applyBorder="1"/>
    <xf numFmtId="0" fontId="23" fillId="9" borderId="0" xfId="0" applyFont="1" applyFill="1" applyBorder="1" applyAlignment="1">
      <alignment horizontal="center" vertical="center"/>
    </xf>
    <xf numFmtId="10" fontId="23" fillId="9" borderId="0" xfId="0" applyNumberFormat="1" applyFont="1" applyFill="1" applyBorder="1" applyAlignment="1">
      <alignment horizontal="center" vertical="center"/>
    </xf>
    <xf numFmtId="167" fontId="24" fillId="9" borderId="0" xfId="0" applyNumberFormat="1" applyFont="1" applyFill="1" applyBorder="1" applyAlignment="1">
      <alignment horizontal="center" vertical="center"/>
    </xf>
    <xf numFmtId="168" fontId="23" fillId="9" borderId="0" xfId="0" applyNumberFormat="1" applyFont="1" applyFill="1" applyBorder="1" applyAlignment="1">
      <alignment horizontal="center" vertical="center"/>
    </xf>
    <xf numFmtId="167" fontId="23" fillId="9" borderId="0" xfId="0" applyNumberFormat="1" applyFont="1" applyFill="1" applyBorder="1" applyAlignment="1">
      <alignment horizontal="center" vertical="center"/>
    </xf>
    <xf numFmtId="0" fontId="30" fillId="0" borderId="0" xfId="0" applyFont="1" applyBorder="1"/>
    <xf numFmtId="2" fontId="24" fillId="9" borderId="0" xfId="0" applyNumberFormat="1" applyFont="1" applyFill="1" applyBorder="1" applyAlignment="1">
      <alignment horizontal="center" vertical="center"/>
    </xf>
    <xf numFmtId="0" fontId="22" fillId="9" borderId="0" xfId="0" applyFont="1" applyFill="1" applyBorder="1" applyAlignment="1">
      <alignment horizontal="left" vertical="center"/>
    </xf>
    <xf numFmtId="0" fontId="24" fillId="9" borderId="0" xfId="0" applyFont="1" applyFill="1" applyBorder="1" applyAlignment="1">
      <alignment horizontal="left" vertical="center"/>
    </xf>
    <xf numFmtId="0" fontId="28" fillId="0" borderId="0" xfId="0" applyFont="1" applyBorder="1" applyAlignment="1">
      <alignment horizontal="center" vertical="center"/>
    </xf>
    <xf numFmtId="0" fontId="32" fillId="0" borderId="0" xfId="0" applyFont="1" applyAlignment="1">
      <alignment vertical="center"/>
    </xf>
    <xf numFmtId="0" fontId="33" fillId="0" borderId="0" xfId="0" applyFont="1"/>
    <xf numFmtId="0" fontId="32" fillId="0" borderId="0" xfId="0" applyFont="1" applyAlignment="1">
      <alignment horizontal="left" vertical="center" readingOrder="1"/>
    </xf>
    <xf numFmtId="0" fontId="0" fillId="0" borderId="0" xfId="0" applyAlignment="1">
      <alignment horizontal="left" vertical="center" indent="1"/>
    </xf>
    <xf numFmtId="168" fontId="6" fillId="0" borderId="0" xfId="0" applyNumberFormat="1" applyFont="1"/>
    <xf numFmtId="170" fontId="6" fillId="0" borderId="0" xfId="0" applyNumberFormat="1" applyFont="1"/>
    <xf numFmtId="168" fontId="31" fillId="14" borderId="25" xfId="3" applyNumberFormat="1"/>
    <xf numFmtId="0" fontId="24" fillId="9" borderId="3" xfId="0" applyNumberFormat="1" applyFont="1" applyFill="1" applyBorder="1" applyAlignment="1">
      <alignment horizontal="center" vertical="center"/>
    </xf>
    <xf numFmtId="0" fontId="31" fillId="14" borderId="25" xfId="3" applyNumberFormat="1"/>
    <xf numFmtId="0" fontId="22" fillId="9" borderId="0" xfId="0" applyFont="1" applyFill="1" applyBorder="1" applyAlignment="1">
      <alignment horizontal="left" vertical="center"/>
    </xf>
    <xf numFmtId="0" fontId="29" fillId="9" borderId="0" xfId="0" applyFont="1" applyFill="1" applyBorder="1" applyAlignment="1">
      <alignment horizontal="left" vertical="center"/>
    </xf>
    <xf numFmtId="4" fontId="24" fillId="9" borderId="0" xfId="0" applyNumberFormat="1" applyFont="1" applyFill="1" applyBorder="1" applyAlignment="1">
      <alignment horizontal="left" vertical="center"/>
    </xf>
    <xf numFmtId="2" fontId="23" fillId="9" borderId="0" xfId="0" applyNumberFormat="1" applyFont="1" applyFill="1" applyBorder="1" applyAlignment="1">
      <alignment horizontal="left" vertical="center"/>
    </xf>
    <xf numFmtId="0" fontId="16" fillId="0" borderId="0" xfId="0" applyFont="1"/>
    <xf numFmtId="0" fontId="27" fillId="9" borderId="0" xfId="0" applyFont="1" applyFill="1" applyBorder="1" applyAlignment="1">
      <alignment horizontal="left" vertical="center"/>
    </xf>
    <xf numFmtId="0" fontId="3" fillId="9" borderId="0" xfId="0" applyFont="1" applyFill="1" applyBorder="1" applyAlignment="1">
      <alignment horizontal="left" vertical="center"/>
    </xf>
    <xf numFmtId="0" fontId="35" fillId="9" borderId="0" xfId="0" applyFont="1" applyFill="1" applyBorder="1" applyAlignment="1">
      <alignment horizontal="left" vertical="center"/>
    </xf>
    <xf numFmtId="0" fontId="35" fillId="9" borderId="0" xfId="0" applyFont="1" applyFill="1" applyBorder="1" applyAlignment="1">
      <alignment horizontal="left" vertical="center"/>
    </xf>
    <xf numFmtId="0" fontId="36" fillId="0" borderId="0" xfId="0" applyFont="1" applyBorder="1" applyAlignment="1">
      <alignment horizontal="left" vertical="center"/>
    </xf>
    <xf numFmtId="0" fontId="36" fillId="0" borderId="0" xfId="0" applyFont="1" applyAlignment="1"/>
    <xf numFmtId="0" fontId="34" fillId="0" borderId="0" xfId="0" applyFont="1"/>
    <xf numFmtId="0" fontId="37" fillId="0" borderId="0" xfId="0" applyFont="1"/>
    <xf numFmtId="0" fontId="15" fillId="9" borderId="30" xfId="0" applyFont="1" applyFill="1" applyBorder="1"/>
    <xf numFmtId="0" fontId="15" fillId="0" borderId="30" xfId="0" applyFont="1" applyBorder="1"/>
    <xf numFmtId="0" fontId="15" fillId="0" borderId="31" xfId="0" applyFont="1" applyBorder="1"/>
    <xf numFmtId="0" fontId="15" fillId="9" borderId="32" xfId="0" applyFont="1" applyFill="1" applyBorder="1"/>
    <xf numFmtId="0" fontId="15" fillId="0" borderId="33" xfId="0" applyFont="1" applyBorder="1"/>
    <xf numFmtId="0" fontId="15" fillId="9" borderId="0" xfId="0" applyFont="1" applyFill="1" applyBorder="1" applyAlignment="1">
      <alignment vertical="center"/>
    </xf>
    <xf numFmtId="6" fontId="15" fillId="0" borderId="0" xfId="0" applyNumberFormat="1" applyFont="1" applyBorder="1" applyAlignment="1">
      <alignment vertical="center"/>
    </xf>
    <xf numFmtId="0" fontId="15" fillId="0" borderId="0" xfId="0" applyFont="1" applyBorder="1" applyAlignment="1">
      <alignment vertical="center"/>
    </xf>
    <xf numFmtId="0" fontId="15" fillId="9" borderId="34" xfId="0" applyFont="1" applyFill="1" applyBorder="1"/>
    <xf numFmtId="0" fontId="15" fillId="9" borderId="35" xfId="0" applyFont="1" applyFill="1" applyBorder="1"/>
    <xf numFmtId="6" fontId="15" fillId="0" borderId="35" xfId="0" applyNumberFormat="1" applyFont="1" applyBorder="1"/>
    <xf numFmtId="0" fontId="15" fillId="0" borderId="35" xfId="0" applyFont="1" applyBorder="1" applyAlignment="1">
      <alignment vertical="center"/>
    </xf>
    <xf numFmtId="0" fontId="15" fillId="0" borderId="35" xfId="0" applyFont="1" applyBorder="1"/>
    <xf numFmtId="0" fontId="15" fillId="0" borderId="36" xfId="0" applyFont="1" applyBorder="1"/>
    <xf numFmtId="0" fontId="39" fillId="9" borderId="32" xfId="0" applyFont="1" applyFill="1" applyBorder="1"/>
    <xf numFmtId="10" fontId="15" fillId="9" borderId="0" xfId="0" applyNumberFormat="1" applyFont="1" applyFill="1" applyBorder="1" applyAlignment="1">
      <alignment horizontal="left"/>
    </xf>
    <xf numFmtId="0" fontId="23" fillId="0" borderId="0" xfId="0" applyFont="1" applyBorder="1" applyAlignment="1">
      <alignment horizontal="left" vertical="center" readingOrder="1"/>
    </xf>
    <xf numFmtId="0" fontId="1" fillId="0" borderId="0" xfId="0" applyFont="1" applyBorder="1"/>
    <xf numFmtId="0" fontId="23" fillId="0" borderId="0" xfId="0" applyFont="1" applyBorder="1" applyAlignment="1">
      <alignment vertical="center"/>
    </xf>
    <xf numFmtId="0" fontId="40" fillId="0" borderId="33" xfId="0" applyFont="1" applyBorder="1"/>
    <xf numFmtId="0" fontId="40" fillId="9" borderId="0" xfId="0" applyFont="1" applyFill="1" applyBorder="1"/>
    <xf numFmtId="0" fontId="40" fillId="0" borderId="0" xfId="0" applyFont="1" applyBorder="1"/>
    <xf numFmtId="0" fontId="4" fillId="0" borderId="32" xfId="0" applyFont="1" applyBorder="1"/>
    <xf numFmtId="0" fontId="19" fillId="0" borderId="32" xfId="0" applyFont="1" applyBorder="1" applyAlignment="1">
      <alignment horizontal="left" vertical="center" readingOrder="1"/>
    </xf>
    <xf numFmtId="0" fontId="41" fillId="9" borderId="0" xfId="0" applyFont="1" applyFill="1" applyBorder="1"/>
    <xf numFmtId="0" fontId="4" fillId="0" borderId="32" xfId="0" applyFont="1" applyBorder="1" applyAlignment="1">
      <alignment horizontal="left" vertical="center" indent="1"/>
    </xf>
    <xf numFmtId="0" fontId="42" fillId="0" borderId="0" xfId="0" applyFont="1" applyBorder="1" applyAlignment="1">
      <alignment vertical="center"/>
    </xf>
    <xf numFmtId="0" fontId="23" fillId="0" borderId="35" xfId="0" applyFont="1" applyBorder="1" applyAlignment="1">
      <alignment vertical="center"/>
    </xf>
    <xf numFmtId="0" fontId="16" fillId="9" borderId="0" xfId="0" applyFont="1" applyFill="1" applyBorder="1"/>
    <xf numFmtId="0" fontId="43" fillId="0" borderId="0" xfId="0" applyFont="1"/>
    <xf numFmtId="0" fontId="43" fillId="9" borderId="0" xfId="0" applyFont="1" applyFill="1" applyBorder="1"/>
    <xf numFmtId="0" fontId="44" fillId="9" borderId="0" xfId="0" applyFont="1" applyFill="1" applyBorder="1"/>
    <xf numFmtId="0" fontId="44" fillId="0" borderId="0" xfId="0" applyFont="1" applyBorder="1"/>
    <xf numFmtId="0" fontId="0" fillId="0" borderId="0" xfId="0" applyAlignment="1">
      <alignment vertical="top"/>
    </xf>
    <xf numFmtId="0" fontId="14" fillId="0" borderId="0" xfId="0" applyFont="1" applyBorder="1" applyAlignment="1"/>
    <xf numFmtId="0" fontId="22" fillId="9" borderId="0" xfId="0" applyFont="1" applyFill="1" applyBorder="1" applyAlignment="1">
      <alignment vertical="center"/>
    </xf>
    <xf numFmtId="0" fontId="46" fillId="9" borderId="0" xfId="0" applyFont="1" applyFill="1" applyBorder="1"/>
    <xf numFmtId="0" fontId="46" fillId="0" borderId="0" xfId="0" applyFont="1" applyBorder="1"/>
    <xf numFmtId="2" fontId="22" fillId="9" borderId="0" xfId="0" applyNumberFormat="1" applyFont="1" applyFill="1" applyBorder="1" applyAlignment="1">
      <alignment horizontal="left" vertical="center"/>
    </xf>
    <xf numFmtId="0" fontId="45" fillId="9" borderId="0" xfId="0" applyFont="1" applyFill="1" applyBorder="1" applyAlignment="1">
      <alignment horizontal="center" vertical="center"/>
    </xf>
    <xf numFmtId="0" fontId="16" fillId="15" borderId="1" xfId="0" applyFont="1" applyFill="1" applyBorder="1" applyAlignment="1">
      <alignment horizontal="center" vertical="center"/>
    </xf>
    <xf numFmtId="164" fontId="16" fillId="15" borderId="1" xfId="0" applyNumberFormat="1" applyFont="1" applyFill="1" applyBorder="1" applyAlignment="1">
      <alignment horizontal="center" vertical="center"/>
    </xf>
    <xf numFmtId="0" fontId="47" fillId="0" borderId="0" xfId="0" applyFont="1" applyAlignment="1">
      <alignment horizontal="center" vertical="center"/>
    </xf>
    <xf numFmtId="0" fontId="23" fillId="12" borderId="26" xfId="0" applyFont="1" applyFill="1" applyBorder="1" applyAlignment="1">
      <alignment horizontal="left" vertical="center"/>
    </xf>
    <xf numFmtId="0" fontId="23" fillId="12" borderId="27" xfId="0" applyFont="1" applyFill="1" applyBorder="1" applyAlignment="1">
      <alignment horizontal="left" vertical="center"/>
    </xf>
    <xf numFmtId="0" fontId="23" fillId="12" borderId="28" xfId="0" applyFont="1" applyFill="1" applyBorder="1" applyAlignment="1">
      <alignment horizontal="left" vertical="center"/>
    </xf>
    <xf numFmtId="0" fontId="24" fillId="9" borderId="0" xfId="0" applyFont="1" applyFill="1" applyBorder="1" applyAlignment="1">
      <alignment horizontal="left" vertical="center"/>
    </xf>
    <xf numFmtId="0" fontId="22" fillId="9" borderId="0" xfId="0" applyFont="1" applyFill="1" applyBorder="1" applyAlignment="1">
      <alignment horizontal="left" vertical="center"/>
    </xf>
    <xf numFmtId="0" fontId="24" fillId="11" borderId="21" xfId="0" applyFont="1" applyFill="1" applyBorder="1" applyAlignment="1">
      <alignment vertical="center"/>
    </xf>
    <xf numFmtId="0" fontId="24" fillId="11" borderId="22" xfId="0" applyFont="1" applyFill="1" applyBorder="1" applyAlignment="1">
      <alignment vertical="center"/>
    </xf>
    <xf numFmtId="0" fontId="24" fillId="11" borderId="23" xfId="0" applyFont="1" applyFill="1" applyBorder="1" applyAlignment="1">
      <alignment vertical="center"/>
    </xf>
    <xf numFmtId="0" fontId="23" fillId="13" borderId="14" xfId="0" applyFont="1" applyFill="1" applyBorder="1" applyAlignment="1">
      <alignment vertical="center"/>
    </xf>
    <xf numFmtId="0" fontId="23" fillId="13" borderId="15" xfId="0" applyFont="1" applyFill="1" applyBorder="1" applyAlignment="1">
      <alignment vertical="center"/>
    </xf>
    <xf numFmtId="0" fontId="23" fillId="13" borderId="16" xfId="0" applyFont="1" applyFill="1" applyBorder="1" applyAlignment="1">
      <alignment vertical="center"/>
    </xf>
    <xf numFmtId="0" fontId="24" fillId="10" borderId="14" xfId="0" applyFont="1" applyFill="1" applyBorder="1" applyAlignment="1">
      <alignment vertical="center"/>
    </xf>
    <xf numFmtId="0" fontId="24" fillId="10" borderId="15" xfId="0" applyFont="1" applyFill="1" applyBorder="1" applyAlignment="1">
      <alignment vertical="center"/>
    </xf>
    <xf numFmtId="0" fontId="24" fillId="10" borderId="16" xfId="0" applyFont="1" applyFill="1" applyBorder="1" applyAlignment="1">
      <alignment vertical="center"/>
    </xf>
    <xf numFmtId="0" fontId="35" fillId="9" borderId="0" xfId="0" applyFont="1" applyFill="1" applyBorder="1" applyAlignment="1">
      <alignment horizontal="left" vertical="center"/>
    </xf>
    <xf numFmtId="0" fontId="36" fillId="0" borderId="0" xfId="0" applyFont="1" applyBorder="1" applyAlignment="1">
      <alignment horizontal="left" vertical="center"/>
    </xf>
    <xf numFmtId="0" fontId="36" fillId="0" borderId="0" xfId="0" applyFont="1" applyAlignment="1"/>
    <xf numFmtId="0" fontId="46" fillId="0" borderId="0" xfId="0" applyFont="1" applyBorder="1" applyAlignment="1">
      <alignment horizontal="center"/>
    </xf>
    <xf numFmtId="0" fontId="45" fillId="11" borderId="37" xfId="0" applyFont="1" applyFill="1" applyBorder="1" applyAlignment="1">
      <alignment horizontal="center" vertical="center"/>
    </xf>
    <xf numFmtId="0" fontId="45" fillId="11" borderId="17" xfId="0" applyFont="1" applyFill="1" applyBorder="1" applyAlignment="1">
      <alignment horizontal="center" vertical="center"/>
    </xf>
    <xf numFmtId="0" fontId="26" fillId="10" borderId="18" xfId="0" applyFont="1" applyFill="1" applyBorder="1" applyAlignment="1">
      <alignment vertical="center"/>
    </xf>
    <xf numFmtId="0" fontId="26" fillId="10" borderId="19" xfId="0" applyFont="1" applyFill="1" applyBorder="1" applyAlignment="1">
      <alignment vertical="center"/>
    </xf>
    <xf numFmtId="0" fontId="26" fillId="10" borderId="20" xfId="0" applyFont="1" applyFill="1" applyBorder="1" applyAlignment="1">
      <alignment vertical="center"/>
    </xf>
    <xf numFmtId="0" fontId="23" fillId="12" borderId="14" xfId="0" applyFont="1" applyFill="1" applyBorder="1" applyAlignment="1">
      <alignment vertical="center"/>
    </xf>
    <xf numFmtId="0" fontId="23" fillId="12" borderId="15" xfId="0" applyFont="1" applyFill="1" applyBorder="1" applyAlignment="1">
      <alignment vertical="center"/>
    </xf>
    <xf numFmtId="0" fontId="23" fillId="12" borderId="16" xfId="0" applyFont="1" applyFill="1" applyBorder="1" applyAlignment="1">
      <alignment vertical="center"/>
    </xf>
    <xf numFmtId="0" fontId="45" fillId="11" borderId="6" xfId="0" applyFont="1" applyFill="1" applyBorder="1" applyAlignment="1">
      <alignment horizontal="center" vertical="center"/>
    </xf>
    <xf numFmtId="0" fontId="23" fillId="12" borderId="8" xfId="0" applyFont="1" applyFill="1" applyBorder="1" applyAlignment="1">
      <alignment vertical="center"/>
    </xf>
    <xf numFmtId="0" fontId="23" fillId="12" borderId="9" xfId="0" applyFont="1" applyFill="1" applyBorder="1" applyAlignment="1">
      <alignment vertical="center"/>
    </xf>
    <xf numFmtId="0" fontId="23" fillId="12" borderId="10" xfId="0" applyFont="1" applyFill="1" applyBorder="1" applyAlignment="1">
      <alignment vertical="center"/>
    </xf>
    <xf numFmtId="0" fontId="23" fillId="10" borderId="11" xfId="0" applyFont="1" applyFill="1" applyBorder="1" applyAlignment="1">
      <alignment vertical="center"/>
    </xf>
    <xf numFmtId="0" fontId="23" fillId="10" borderId="12" xfId="0" applyFont="1" applyFill="1" applyBorder="1" applyAlignment="1">
      <alignment vertical="center"/>
    </xf>
    <xf numFmtId="0" fontId="23" fillId="10" borderId="13" xfId="0" applyFont="1" applyFill="1" applyBorder="1" applyAlignment="1">
      <alignment vertical="center"/>
    </xf>
    <xf numFmtId="0" fontId="24" fillId="10" borderId="8" xfId="0" applyFont="1" applyFill="1" applyBorder="1" applyAlignment="1">
      <alignment vertical="center"/>
    </xf>
    <xf numFmtId="0" fontId="24" fillId="10" borderId="9" xfId="0" applyFont="1" applyFill="1" applyBorder="1" applyAlignment="1">
      <alignment vertical="center"/>
    </xf>
    <xf numFmtId="0" fontId="24" fillId="10" borderId="10" xfId="0" applyFont="1" applyFill="1" applyBorder="1" applyAlignment="1">
      <alignment vertical="center"/>
    </xf>
    <xf numFmtId="0" fontId="23" fillId="12" borderId="18" xfId="0" applyFont="1" applyFill="1" applyBorder="1" applyAlignment="1">
      <alignment vertical="center"/>
    </xf>
    <xf numFmtId="0" fontId="23" fillId="12" borderId="19" xfId="0" applyFont="1" applyFill="1" applyBorder="1" applyAlignment="1">
      <alignment vertical="center"/>
    </xf>
    <xf numFmtId="0" fontId="23" fillId="12" borderId="20" xfId="0" applyFont="1" applyFill="1" applyBorder="1" applyAlignment="1">
      <alignment vertical="center"/>
    </xf>
    <xf numFmtId="0" fontId="45" fillId="11" borderId="37" xfId="0" applyFont="1" applyFill="1" applyBorder="1" applyAlignment="1">
      <alignment vertical="center"/>
    </xf>
    <xf numFmtId="0" fontId="48" fillId="11" borderId="17" xfId="0" applyFont="1" applyFill="1" applyBorder="1" applyAlignment="1">
      <alignment vertical="center"/>
    </xf>
    <xf numFmtId="0" fontId="48" fillId="11" borderId="6" xfId="0" applyFont="1" applyFill="1" applyBorder="1" applyAlignment="1">
      <alignment vertical="center"/>
    </xf>
    <xf numFmtId="0" fontId="38" fillId="9" borderId="0" xfId="0" applyFont="1" applyFill="1" applyBorder="1"/>
    <xf numFmtId="0" fontId="15" fillId="9" borderId="29" xfId="0" applyFont="1" applyFill="1" applyBorder="1"/>
    <xf numFmtId="0" fontId="27" fillId="0" borderId="30" xfId="0" applyFont="1" applyBorder="1"/>
    <xf numFmtId="0" fontId="15" fillId="9" borderId="32" xfId="0" applyFont="1" applyFill="1" applyBorder="1" applyAlignment="1">
      <alignment vertical="center"/>
    </xf>
    <xf numFmtId="0" fontId="39" fillId="9" borderId="29" xfId="0" applyFont="1" applyFill="1" applyBorder="1"/>
    <xf numFmtId="10" fontId="15" fillId="9" borderId="30" xfId="0" applyNumberFormat="1" applyFont="1" applyFill="1" applyBorder="1" applyAlignment="1">
      <alignment horizontal="left"/>
    </xf>
    <xf numFmtId="0" fontId="27" fillId="9" borderId="32" xfId="0" applyFont="1" applyFill="1" applyBorder="1"/>
    <xf numFmtId="168" fontId="46" fillId="0" borderId="1" xfId="0" applyNumberFormat="1" applyFont="1" applyBorder="1" applyAlignment="1">
      <alignment horizontal="center" vertical="center"/>
    </xf>
    <xf numFmtId="0" fontId="27" fillId="9" borderId="35" xfId="0" applyFont="1" applyFill="1" applyBorder="1"/>
    <xf numFmtId="0" fontId="39" fillId="9" borderId="32" xfId="0" applyFont="1" applyFill="1" applyBorder="1" applyAlignment="1">
      <alignment horizontal="left" vertical="center"/>
    </xf>
    <xf numFmtId="0" fontId="27" fillId="0" borderId="35" xfId="0" applyFont="1" applyBorder="1"/>
    <xf numFmtId="168" fontId="16" fillId="0" borderId="24" xfId="0" applyNumberFormat="1" applyFont="1" applyBorder="1" applyAlignment="1">
      <alignment horizontal="center" vertical="center"/>
    </xf>
  </cellXfs>
  <cellStyles count="4">
    <cellStyle name="Entrée" xfId="3" builtinId="20"/>
    <cellStyle name="Lien hypertexte" xfId="1" builtinId="8"/>
    <cellStyle name="Milliers" xfId="2" builtinId="3"/>
    <cellStyle name="Normal" xfId="0" builtinId="0"/>
  </cellStyles>
  <dxfs count="7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ndense val="0"/>
        <extend val="0"/>
      </font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Emprunt!$A$82:$B$82</c:f>
              <c:strCache>
                <c:ptCount val="1"/>
                <c:pt idx="0">
                  <c:v>45495 64095</c:v>
                </c:pt>
              </c:strCache>
            </c:strRef>
          </c:tx>
          <c:invertIfNegative val="0"/>
          <c:val>
            <c:numRef>
              <c:f>Emprunt!$C$82:$E$82</c:f>
              <c:numCache>
                <c:formatCode>General</c:formatCode>
                <c:ptCount val="3"/>
                <c:pt idx="0">
                  <c:v>18600</c:v>
                </c:pt>
                <c:pt idx="1">
                  <c:v>1.14E-2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tx>
            <c:strRef>
              <c:f>Emprunt!$A$83:$B$83</c:f>
              <c:strCache>
                <c:ptCount val="1"/>
                <c:pt idx="0">
                  <c:v>45495 Srdu</c:v>
                </c:pt>
              </c:strCache>
            </c:strRef>
          </c:tx>
          <c:invertIfNegative val="0"/>
          <c:val>
            <c:numRef>
              <c:f>Emprunt!$C$83:$E$83</c:f>
              <c:numCache>
                <c:formatCode>General</c:formatCode>
                <c:ptCount val="3"/>
                <c:pt idx="0">
                  <c:v>-64095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5890176"/>
        <c:axId val="105891712"/>
      </c:barChart>
      <c:catAx>
        <c:axId val="1058901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5891712"/>
        <c:crosses val="autoZero"/>
        <c:auto val="1"/>
        <c:lblAlgn val="ctr"/>
        <c:lblOffset val="100"/>
        <c:noMultiLvlLbl val="0"/>
      </c:catAx>
      <c:valAx>
        <c:axId val="1058917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58901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30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6400" cy="605790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onteil@ensat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8"/>
  <sheetViews>
    <sheetView showGridLines="0" workbookViewId="0">
      <selection activeCell="G1" sqref="G1:J1"/>
    </sheetView>
  </sheetViews>
  <sheetFormatPr baseColWidth="10" defaultColWidth="12" defaultRowHeight="15" x14ac:dyDescent="0.2"/>
  <cols>
    <col min="1" max="1" width="5.83203125" style="3" customWidth="1"/>
    <col min="2" max="9" width="12.6640625" style="3" customWidth="1"/>
    <col min="10" max="16384" width="12" style="3"/>
  </cols>
  <sheetData>
    <row r="1" spans="1:9" ht="18.75" x14ac:dyDescent="0.3">
      <c r="A1" s="9" t="s">
        <v>19</v>
      </c>
      <c r="B1" s="4"/>
      <c r="C1" s="4"/>
      <c r="H1" s="8" t="s">
        <v>40</v>
      </c>
      <c r="I1" s="7" t="s">
        <v>39</v>
      </c>
    </row>
    <row r="2" spans="1:9" x14ac:dyDescent="0.2">
      <c r="A2" s="3" t="s">
        <v>16</v>
      </c>
    </row>
    <row r="3" spans="1:9" x14ac:dyDescent="0.2">
      <c r="A3" s="3" t="s">
        <v>20</v>
      </c>
    </row>
    <row r="5" spans="1:9" x14ac:dyDescent="0.2">
      <c r="A5" s="3" t="s">
        <v>17</v>
      </c>
    </row>
    <row r="6" spans="1:9" x14ac:dyDescent="0.2">
      <c r="A6" s="3" t="s">
        <v>18</v>
      </c>
    </row>
    <row r="8" spans="1:9" x14ac:dyDescent="0.2">
      <c r="A8" s="3" t="s">
        <v>21</v>
      </c>
    </row>
    <row r="9" spans="1:9" x14ac:dyDescent="0.2">
      <c r="A9" s="3" t="s">
        <v>22</v>
      </c>
    </row>
    <row r="11" spans="1:9" x14ac:dyDescent="0.2">
      <c r="A11" s="3" t="s">
        <v>23</v>
      </c>
    </row>
    <row r="12" spans="1:9" x14ac:dyDescent="0.2">
      <c r="A12" s="5" t="s">
        <v>24</v>
      </c>
      <c r="B12" s="3" t="s">
        <v>25</v>
      </c>
    </row>
    <row r="13" spans="1:9" x14ac:dyDescent="0.2">
      <c r="A13" s="5" t="s">
        <v>24</v>
      </c>
      <c r="B13" s="3" t="s">
        <v>26</v>
      </c>
    </row>
    <row r="14" spans="1:9" x14ac:dyDescent="0.2">
      <c r="A14" s="5" t="s">
        <v>24</v>
      </c>
      <c r="B14" s="3" t="s">
        <v>41</v>
      </c>
    </row>
    <row r="15" spans="1:9" x14ac:dyDescent="0.2">
      <c r="B15" s="3" t="s">
        <v>42</v>
      </c>
    </row>
    <row r="17" spans="1:2" x14ac:dyDescent="0.2">
      <c r="A17" s="3" t="s">
        <v>31</v>
      </c>
    </row>
    <row r="18" spans="1:2" x14ac:dyDescent="0.2">
      <c r="A18" s="3" t="s">
        <v>27</v>
      </c>
    </row>
    <row r="19" spans="1:2" x14ac:dyDescent="0.2">
      <c r="A19" s="3" t="s">
        <v>28</v>
      </c>
    </row>
    <row r="20" spans="1:2" x14ac:dyDescent="0.2">
      <c r="A20" s="3" t="s">
        <v>29</v>
      </c>
    </row>
    <row r="21" spans="1:2" x14ac:dyDescent="0.2">
      <c r="A21" s="3" t="s">
        <v>30</v>
      </c>
    </row>
    <row r="23" spans="1:2" x14ac:dyDescent="0.2">
      <c r="A23" s="3" t="s">
        <v>32</v>
      </c>
    </row>
    <row r="24" spans="1:2" x14ac:dyDescent="0.2">
      <c r="A24" s="3" t="s">
        <v>33</v>
      </c>
    </row>
    <row r="25" spans="1:2" x14ac:dyDescent="0.2">
      <c r="A25" s="5" t="s">
        <v>24</v>
      </c>
      <c r="B25" s="3" t="s">
        <v>34</v>
      </c>
    </row>
    <row r="26" spans="1:2" x14ac:dyDescent="0.2">
      <c r="A26" s="5" t="s">
        <v>24</v>
      </c>
      <c r="B26" s="3" t="s">
        <v>35</v>
      </c>
    </row>
    <row r="27" spans="1:2" x14ac:dyDescent="0.2">
      <c r="A27" s="5" t="s">
        <v>24</v>
      </c>
      <c r="B27" s="3" t="s">
        <v>36</v>
      </c>
    </row>
    <row r="28" spans="1:2" x14ac:dyDescent="0.2">
      <c r="A28" s="5" t="s">
        <v>24</v>
      </c>
      <c r="B28" s="3" t="s">
        <v>37</v>
      </c>
    </row>
    <row r="29" spans="1:2" x14ac:dyDescent="0.2">
      <c r="A29" s="5"/>
    </row>
    <row r="30" spans="1:2" s="1" customFormat="1" ht="12.75" x14ac:dyDescent="0.2">
      <c r="B30" s="2" t="s">
        <v>11</v>
      </c>
    </row>
    <row r="31" spans="1:2" s="1" customFormat="1" ht="12.75" x14ac:dyDescent="0.2">
      <c r="B31" s="6" t="s">
        <v>38</v>
      </c>
    </row>
    <row r="32" spans="1:2" s="1" customFormat="1" ht="12.75" x14ac:dyDescent="0.2">
      <c r="B32" s="1" t="s">
        <v>12</v>
      </c>
    </row>
    <row r="33" spans="2:2" s="1" customFormat="1" ht="12.75" x14ac:dyDescent="0.2">
      <c r="B33" s="1" t="s">
        <v>8</v>
      </c>
    </row>
    <row r="34" spans="2:2" s="1" customFormat="1" ht="12.75" x14ac:dyDescent="0.2">
      <c r="B34" s="1" t="s">
        <v>13</v>
      </c>
    </row>
    <row r="35" spans="2:2" s="1" customFormat="1" ht="12.75" x14ac:dyDescent="0.2">
      <c r="B35" s="1" t="s">
        <v>14</v>
      </c>
    </row>
    <row r="36" spans="2:2" s="1" customFormat="1" ht="12.75" x14ac:dyDescent="0.2">
      <c r="B36" s="1" t="s">
        <v>15</v>
      </c>
    </row>
    <row r="37" spans="2:2" s="1" customFormat="1" ht="12.75" x14ac:dyDescent="0.2">
      <c r="B37" s="2" t="s">
        <v>9</v>
      </c>
    </row>
    <row r="38" spans="2:2" s="1" customFormat="1" ht="12.75" x14ac:dyDescent="0.2">
      <c r="B38" s="2" t="s">
        <v>10</v>
      </c>
    </row>
  </sheetData>
  <phoneticPr fontId="5" type="noConversion"/>
  <hyperlinks>
    <hyperlink ref="A1:C1" location="Emprunt!A1" display="Feuille Emprunt"/>
    <hyperlink ref="H1:I1" r:id="rId1" display="mailto:monteil@ensat.fr"/>
  </hyperlinks>
  <pageMargins left="0.39370078740157483" right="0.39370078740157483" top="0.59055118110236227" bottom="0.39370078740157483" header="0.51181102362204722" footer="0.31496062992125984"/>
  <pageSetup paperSize="9" orientation="portrait" horizontalDpi="4294967293" verticalDpi="0" r:id="rId2"/>
  <headerFooter alignWithMargins="0">
    <oddHeader>&amp;C&amp;F : &amp;A</oddHeader>
    <oddFooter>&amp;C&amp;D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95"/>
  <sheetViews>
    <sheetView showGridLines="0" tabSelected="1" workbookViewId="0">
      <selection activeCell="AC73" sqref="AC73"/>
    </sheetView>
  </sheetViews>
  <sheetFormatPr baseColWidth="10" defaultColWidth="12" defaultRowHeight="15" customHeight="1" x14ac:dyDescent="0.2"/>
  <cols>
    <col min="1" max="1" width="8.33203125" style="10" customWidth="1"/>
    <col min="2" max="2" width="12" style="10"/>
    <col min="3" max="3" width="17" style="10" customWidth="1"/>
    <col min="4" max="4" width="13.1640625" style="10" bestFit="1" customWidth="1"/>
    <col min="5" max="5" width="8.6640625" style="10" bestFit="1" customWidth="1"/>
    <col min="6" max="6" width="13.1640625" style="10" bestFit="1" customWidth="1"/>
    <col min="7" max="7" width="7.5" style="10" customWidth="1"/>
    <col min="8" max="8" width="8.1640625" style="10" bestFit="1" customWidth="1"/>
    <col min="9" max="11" width="17.6640625" style="10" customWidth="1"/>
    <col min="12" max="12" width="14.5" style="10" bestFit="1" customWidth="1"/>
    <col min="13" max="13" width="14" style="57" customWidth="1"/>
    <col min="14" max="14" width="13.1640625" style="57" customWidth="1"/>
    <col min="15" max="15" width="15.33203125" style="57" customWidth="1"/>
    <col min="16" max="17" width="12" style="57"/>
    <col min="18" max="21" width="12" style="58"/>
    <col min="22" max="22" width="11.5" style="59" bestFit="1" customWidth="1"/>
    <col min="23" max="28" width="12" style="10"/>
    <col min="29" max="29" width="29.33203125" style="10" bestFit="1" customWidth="1"/>
    <col min="30" max="30" width="12" style="10"/>
    <col min="31" max="31" width="29.33203125" style="10" bestFit="1" customWidth="1"/>
    <col min="32" max="32" width="13.33203125" style="10" customWidth="1"/>
    <col min="33" max="33" width="13.83203125" style="10" bestFit="1" customWidth="1"/>
    <col min="34" max="16384" width="12" style="10"/>
  </cols>
  <sheetData>
    <row r="1" spans="2:36" ht="15" customHeight="1" thickBot="1" x14ac:dyDescent="0.25"/>
    <row r="2" spans="2:36" ht="15" customHeight="1" thickBot="1" x14ac:dyDescent="0.25">
      <c r="B2" s="157" t="s">
        <v>155</v>
      </c>
      <c r="C2" s="158"/>
      <c r="D2" s="158"/>
      <c r="E2" s="158"/>
      <c r="F2" s="165"/>
      <c r="I2" s="178" t="s">
        <v>7</v>
      </c>
      <c r="J2" s="179"/>
      <c r="K2" s="179"/>
      <c r="L2" s="180"/>
      <c r="N2" s="181" t="s">
        <v>55</v>
      </c>
      <c r="V2" s="40"/>
      <c r="W2" s="40"/>
    </row>
    <row r="3" spans="2:36" ht="15" customHeight="1" thickBot="1" x14ac:dyDescent="0.35">
      <c r="B3" s="130"/>
      <c r="C3" s="130"/>
      <c r="D3" s="130"/>
      <c r="E3" s="130"/>
      <c r="F3" s="130"/>
      <c r="G3" s="40"/>
      <c r="I3" s="130"/>
      <c r="J3" s="130"/>
      <c r="K3" s="130"/>
      <c r="L3" s="130"/>
      <c r="N3" s="182" t="s">
        <v>158</v>
      </c>
      <c r="O3" s="96"/>
      <c r="P3" s="96"/>
      <c r="Q3" s="96"/>
      <c r="R3" s="97"/>
      <c r="S3" s="97"/>
      <c r="T3" s="97"/>
      <c r="U3" s="183"/>
      <c r="V3" s="97"/>
      <c r="W3" s="98"/>
    </row>
    <row r="4" spans="2:36" ht="15" customHeight="1" thickBot="1" x14ac:dyDescent="0.25">
      <c r="B4" s="159" t="s">
        <v>45</v>
      </c>
      <c r="C4" s="160"/>
      <c r="D4" s="161"/>
      <c r="E4" s="28"/>
      <c r="F4" s="43"/>
      <c r="I4" s="136" t="s">
        <v>0</v>
      </c>
      <c r="J4" s="137" t="s">
        <v>1</v>
      </c>
      <c r="K4" s="137" t="s">
        <v>2</v>
      </c>
      <c r="L4" s="137" t="s">
        <v>3</v>
      </c>
      <c r="N4" s="187" t="s">
        <v>161</v>
      </c>
      <c r="V4" s="58"/>
      <c r="W4" s="100"/>
      <c r="AA4" s="1"/>
      <c r="AB4" s="1"/>
      <c r="AC4" s="1"/>
      <c r="AD4" s="1"/>
      <c r="AE4" s="1"/>
      <c r="AF4" s="1"/>
      <c r="AG4" s="1"/>
      <c r="AH4" s="1"/>
      <c r="AI4" s="1"/>
      <c r="AJ4" s="1"/>
    </row>
    <row r="5" spans="2:36" ht="15" customHeight="1" x14ac:dyDescent="0.2">
      <c r="B5" s="162" t="s">
        <v>46</v>
      </c>
      <c r="C5" s="163"/>
      <c r="D5" s="164"/>
      <c r="E5" s="28"/>
      <c r="F5" s="44"/>
      <c r="I5" s="11">
        <v>1</v>
      </c>
      <c r="J5" s="18">
        <f>clCapital*clTauxAnnuel</f>
        <v>0</v>
      </c>
      <c r="K5" s="19" t="e">
        <f>clAnnuite-PartInteret</f>
        <v>#DIV/0!</v>
      </c>
      <c r="L5" s="20">
        <f>clCapital-PartCapital</f>
        <v>2904</v>
      </c>
      <c r="N5" s="99" t="s">
        <v>160</v>
      </c>
      <c r="O5" s="13"/>
      <c r="P5" s="13"/>
      <c r="Q5" s="13"/>
      <c r="R5" s="40"/>
      <c r="S5" s="40"/>
      <c r="T5" s="40"/>
      <c r="V5" s="40"/>
      <c r="W5" s="100"/>
      <c r="AA5" s="1"/>
      <c r="AB5" s="74"/>
      <c r="AC5" s="1"/>
      <c r="AD5" s="1"/>
      <c r="AE5" s="1"/>
      <c r="AF5" s="1"/>
      <c r="AG5" s="1"/>
      <c r="AH5" s="1"/>
      <c r="AI5" s="1"/>
      <c r="AJ5" s="1"/>
    </row>
    <row r="6" spans="2:36" ht="15" customHeight="1" x14ac:dyDescent="0.2">
      <c r="B6" s="162" t="s">
        <v>159</v>
      </c>
      <c r="C6" s="163"/>
      <c r="D6" s="164"/>
      <c r="E6" s="28"/>
      <c r="F6" s="47"/>
      <c r="I6" s="12">
        <f t="shared" ref="I6:I34" si="0">AnneePrecedente+1</f>
        <v>1</v>
      </c>
      <c r="J6" s="21" t="e">
        <f t="shared" ref="J6:J34" si="1">CapitalPrecedent*clTauxAnnuel</f>
        <v>#DIV/0!</v>
      </c>
      <c r="K6" s="22" t="e">
        <f t="shared" ref="K6:K34" si="2">IF(AnneeCourante&lt;=clDuree,clAnnuite-PartInteret,0)</f>
        <v>#DIV/0!</v>
      </c>
      <c r="L6" s="23" t="e">
        <f t="shared" ref="L6:L34" si="3">CapitalPrecedent-PartCapital</f>
        <v>#DIV/0!</v>
      </c>
      <c r="N6" s="184" t="s">
        <v>133</v>
      </c>
      <c r="O6" s="101"/>
      <c r="P6" s="101"/>
      <c r="Q6" s="102">
        <v>10000</v>
      </c>
      <c r="R6" s="103" t="s">
        <v>174</v>
      </c>
      <c r="S6" s="103"/>
      <c r="V6" s="40"/>
      <c r="W6" s="100"/>
      <c r="AA6" s="1"/>
      <c r="AB6" s="74"/>
      <c r="AC6" s="1"/>
      <c r="AD6" s="1"/>
      <c r="AE6" s="1"/>
      <c r="AF6" s="1"/>
      <c r="AG6" s="1"/>
      <c r="AH6" s="1"/>
      <c r="AI6" s="1"/>
      <c r="AJ6" s="1"/>
    </row>
    <row r="7" spans="2:36" ht="15" customHeight="1" x14ac:dyDescent="0.2">
      <c r="B7" s="139" t="s">
        <v>153</v>
      </c>
      <c r="C7" s="140"/>
      <c r="D7" s="141"/>
      <c r="E7" s="28"/>
      <c r="F7" s="81">
        <v>1300</v>
      </c>
      <c r="I7" s="12">
        <f t="shared" si="0"/>
        <v>1</v>
      </c>
      <c r="J7" s="21" t="e">
        <f t="shared" si="1"/>
        <v>#DIV/0!</v>
      </c>
      <c r="K7" s="22" t="e">
        <f t="shared" si="2"/>
        <v>#DIV/0!</v>
      </c>
      <c r="L7" s="23" t="e">
        <f t="shared" si="3"/>
        <v>#DIV/0!</v>
      </c>
      <c r="N7" s="104"/>
      <c r="O7" s="105"/>
      <c r="P7" s="105"/>
      <c r="Q7" s="106">
        <v>20000</v>
      </c>
      <c r="R7" s="107" t="s">
        <v>175</v>
      </c>
      <c r="S7" s="108"/>
      <c r="T7" s="108"/>
      <c r="U7" s="191"/>
      <c r="V7" s="108"/>
      <c r="W7" s="109"/>
      <c r="AA7" s="1"/>
      <c r="AB7"/>
      <c r="AC7" s="1"/>
      <c r="AD7" s="1"/>
      <c r="AE7" s="1"/>
      <c r="AF7" s="1"/>
      <c r="AG7" s="1"/>
      <c r="AH7" s="1"/>
      <c r="AI7" s="1"/>
      <c r="AJ7" s="1"/>
    </row>
    <row r="8" spans="2:36" ht="15" customHeight="1" x14ac:dyDescent="0.2">
      <c r="B8" s="139" t="s">
        <v>122</v>
      </c>
      <c r="C8" s="140"/>
      <c r="D8" s="141"/>
      <c r="E8" s="28"/>
      <c r="F8" s="47"/>
      <c r="I8" s="12">
        <f t="shared" si="0"/>
        <v>1</v>
      </c>
      <c r="J8" s="21" t="e">
        <f t="shared" si="1"/>
        <v>#DIV/0!</v>
      </c>
      <c r="K8" s="22" t="e">
        <f t="shared" si="2"/>
        <v>#DIV/0!</v>
      </c>
      <c r="L8" s="23" t="e">
        <f t="shared" si="3"/>
        <v>#DIV/0!</v>
      </c>
      <c r="AA8" s="1"/>
      <c r="AB8" s="76"/>
      <c r="AC8" s="1"/>
      <c r="AD8" s="1"/>
      <c r="AE8" s="1"/>
      <c r="AF8" s="1"/>
      <c r="AG8" s="1"/>
      <c r="AH8" s="1"/>
      <c r="AI8" s="1"/>
      <c r="AJ8" s="1"/>
    </row>
    <row r="9" spans="2:36" ht="15" customHeight="1" x14ac:dyDescent="0.2">
      <c r="B9" s="139" t="s">
        <v>123</v>
      </c>
      <c r="C9" s="140"/>
      <c r="D9" s="141"/>
      <c r="E9" s="28"/>
      <c r="F9" s="81"/>
      <c r="I9" s="12">
        <f t="shared" si="0"/>
        <v>1</v>
      </c>
      <c r="J9" s="21" t="e">
        <f t="shared" si="1"/>
        <v>#DIV/0!</v>
      </c>
      <c r="K9" s="22" t="e">
        <f t="shared" si="2"/>
        <v>#DIV/0!</v>
      </c>
      <c r="L9" s="23" t="e">
        <f t="shared" si="3"/>
        <v>#DIV/0!</v>
      </c>
      <c r="N9" s="181" t="s">
        <v>127</v>
      </c>
      <c r="O9" s="13"/>
      <c r="P9" s="13"/>
      <c r="Q9" s="13"/>
      <c r="R9" s="13"/>
      <c r="S9" s="40"/>
      <c r="T9" s="40"/>
      <c r="U9" s="40"/>
      <c r="V9" s="40"/>
      <c r="W9" s="40"/>
      <c r="AA9" s="1"/>
      <c r="AB9" s="76"/>
      <c r="AC9" s="1"/>
      <c r="AD9" s="1"/>
      <c r="AE9" s="1"/>
      <c r="AF9" s="1"/>
      <c r="AG9" s="1"/>
      <c r="AH9" s="1"/>
      <c r="AI9" s="1"/>
      <c r="AJ9" s="1"/>
    </row>
    <row r="10" spans="2:36" ht="15" customHeight="1" x14ac:dyDescent="0.2">
      <c r="B10" s="162" t="s">
        <v>74</v>
      </c>
      <c r="C10" s="163"/>
      <c r="D10" s="164"/>
      <c r="E10" s="28"/>
      <c r="F10" s="49"/>
      <c r="I10" s="12">
        <f t="shared" si="0"/>
        <v>1</v>
      </c>
      <c r="J10" s="21" t="e">
        <f t="shared" si="1"/>
        <v>#DIV/0!</v>
      </c>
      <c r="K10" s="22" t="e">
        <f t="shared" si="2"/>
        <v>#DIV/0!</v>
      </c>
      <c r="L10" s="23" t="e">
        <f t="shared" si="3"/>
        <v>#DIV/0!</v>
      </c>
      <c r="N10" s="185" t="s">
        <v>134</v>
      </c>
      <c r="O10" s="186" t="s">
        <v>135</v>
      </c>
      <c r="P10" s="96"/>
      <c r="Q10" s="97"/>
      <c r="R10" s="97"/>
      <c r="S10" s="97"/>
      <c r="T10" s="97"/>
      <c r="U10" s="97"/>
      <c r="V10" s="97"/>
      <c r="W10" s="98"/>
      <c r="AA10" s="1"/>
      <c r="AB10" s="76"/>
      <c r="AC10" s="1"/>
      <c r="AD10" s="1"/>
      <c r="AE10" s="1"/>
      <c r="AF10" s="1"/>
      <c r="AG10" s="1"/>
      <c r="AH10" s="1"/>
      <c r="AI10" s="1"/>
      <c r="AJ10" s="1"/>
    </row>
    <row r="11" spans="2:36" ht="15" customHeight="1" x14ac:dyDescent="0.2">
      <c r="B11" s="150" t="s">
        <v>47</v>
      </c>
      <c r="C11" s="151"/>
      <c r="D11" s="152"/>
      <c r="E11" s="28"/>
      <c r="F11" s="48">
        <f>D66</f>
        <v>968</v>
      </c>
      <c r="I11" s="12">
        <f t="shared" si="0"/>
        <v>1</v>
      </c>
      <c r="J11" s="21" t="e">
        <f t="shared" si="1"/>
        <v>#DIV/0!</v>
      </c>
      <c r="K11" s="22" t="e">
        <f t="shared" si="2"/>
        <v>#DIV/0!</v>
      </c>
      <c r="L11" s="23" t="e">
        <f t="shared" si="3"/>
        <v>#DIV/0!</v>
      </c>
      <c r="N11" s="110"/>
      <c r="O11" s="111"/>
      <c r="P11" s="13"/>
      <c r="Q11" s="40"/>
      <c r="R11" s="40"/>
      <c r="S11" s="40"/>
      <c r="T11" s="40"/>
      <c r="U11" s="40"/>
      <c r="V11" s="40"/>
      <c r="W11" s="100"/>
      <c r="AA11" s="1"/>
      <c r="AB11" s="77"/>
      <c r="AC11" s="1"/>
      <c r="AD11" s="1"/>
      <c r="AE11" s="1"/>
      <c r="AF11" s="1"/>
      <c r="AG11" s="1"/>
      <c r="AH11" s="1"/>
      <c r="AI11" s="1"/>
      <c r="AJ11" s="1"/>
    </row>
    <row r="12" spans="2:36" ht="15" customHeight="1" x14ac:dyDescent="0.2">
      <c r="B12" s="147" t="s">
        <v>77</v>
      </c>
      <c r="C12" s="148"/>
      <c r="D12" s="149"/>
      <c r="E12" s="28"/>
      <c r="F12" s="47"/>
      <c r="I12" s="12">
        <f t="shared" si="0"/>
        <v>1</v>
      </c>
      <c r="J12" s="21" t="e">
        <f t="shared" si="1"/>
        <v>#DIV/0!</v>
      </c>
      <c r="K12" s="22" t="e">
        <f t="shared" si="2"/>
        <v>#DIV/0!</v>
      </c>
      <c r="L12" s="23" t="e">
        <f t="shared" si="3"/>
        <v>#DIV/0!</v>
      </c>
      <c r="M12" s="46"/>
      <c r="N12" s="110" t="s">
        <v>136</v>
      </c>
      <c r="O12" s="13" t="s">
        <v>137</v>
      </c>
      <c r="P12" s="13"/>
      <c r="Q12" s="13" t="s">
        <v>162</v>
      </c>
      <c r="R12" s="40"/>
      <c r="S12" s="40"/>
      <c r="T12" s="40"/>
      <c r="U12" s="40"/>
      <c r="V12" s="40"/>
      <c r="W12" s="100"/>
      <c r="AA12" s="1"/>
      <c r="AB12" s="74"/>
      <c r="AC12" s="1"/>
      <c r="AD12" s="1"/>
      <c r="AE12" s="1"/>
      <c r="AF12" s="1"/>
      <c r="AG12" s="1"/>
      <c r="AH12" s="1"/>
    </row>
    <row r="13" spans="2:36" ht="15" customHeight="1" thickBot="1" x14ac:dyDescent="0.25">
      <c r="B13" s="172" t="s">
        <v>51</v>
      </c>
      <c r="C13" s="173"/>
      <c r="D13" s="174"/>
      <c r="E13" s="28"/>
      <c r="F13" s="45">
        <f>J66</f>
        <v>968</v>
      </c>
      <c r="I13" s="12">
        <f t="shared" si="0"/>
        <v>1</v>
      </c>
      <c r="J13" s="21" t="e">
        <f t="shared" si="1"/>
        <v>#DIV/0!</v>
      </c>
      <c r="K13" s="22" t="e">
        <f t="shared" si="2"/>
        <v>#DIV/0!</v>
      </c>
      <c r="L13" s="23" t="e">
        <f t="shared" si="3"/>
        <v>#DIV/0!</v>
      </c>
      <c r="N13" s="99"/>
      <c r="O13" s="13"/>
      <c r="P13" s="13"/>
      <c r="Q13" s="13" t="s">
        <v>163</v>
      </c>
      <c r="R13" s="40"/>
      <c r="S13" s="40"/>
      <c r="T13" s="40"/>
      <c r="U13" s="40"/>
      <c r="V13" s="40"/>
      <c r="W13" s="100"/>
      <c r="AA13" s="1"/>
      <c r="AB13" s="74"/>
      <c r="AC13" s="1"/>
      <c r="AD13" s="1"/>
      <c r="AE13" s="1"/>
      <c r="AF13" s="1"/>
      <c r="AG13" s="1"/>
      <c r="AH13" s="1"/>
    </row>
    <row r="14" spans="2:36" ht="15" customHeight="1" x14ac:dyDescent="0.2">
      <c r="F14" s="192">
        <f>F4+F11+F12+F13</f>
        <v>1936</v>
      </c>
      <c r="I14" s="12">
        <f t="shared" si="0"/>
        <v>1</v>
      </c>
      <c r="J14" s="21" t="e">
        <f t="shared" si="1"/>
        <v>#DIV/0!</v>
      </c>
      <c r="K14" s="22" t="e">
        <f t="shared" si="2"/>
        <v>#DIV/0!</v>
      </c>
      <c r="L14" s="23" t="e">
        <f t="shared" si="3"/>
        <v>#DIV/0!</v>
      </c>
      <c r="N14" s="99"/>
      <c r="O14" s="13"/>
      <c r="P14" s="13"/>
      <c r="Q14" s="13" t="s">
        <v>165</v>
      </c>
      <c r="R14" s="40"/>
      <c r="S14" s="40"/>
      <c r="T14" s="40"/>
      <c r="U14" s="40"/>
      <c r="V14" s="40"/>
      <c r="W14" s="100"/>
      <c r="AA14" s="1"/>
      <c r="AB14" s="74"/>
      <c r="AC14" s="1"/>
      <c r="AD14" s="1"/>
      <c r="AE14" s="1"/>
      <c r="AF14" s="1"/>
      <c r="AG14" s="1"/>
      <c r="AH14" s="1"/>
    </row>
    <row r="15" spans="2:36" ht="15" customHeight="1" thickBot="1" x14ac:dyDescent="0.25">
      <c r="F15" s="129"/>
      <c r="I15" s="12">
        <f t="shared" si="0"/>
        <v>1</v>
      </c>
      <c r="J15" s="21" t="e">
        <f t="shared" si="1"/>
        <v>#DIV/0!</v>
      </c>
      <c r="K15" s="22" t="e">
        <f t="shared" si="2"/>
        <v>#DIV/0!</v>
      </c>
      <c r="L15" s="23" t="e">
        <f t="shared" si="3"/>
        <v>#DIV/0!</v>
      </c>
      <c r="N15" s="99"/>
      <c r="O15" s="13"/>
      <c r="P15" s="13"/>
      <c r="Q15" s="13" t="s">
        <v>164</v>
      </c>
      <c r="R15" s="40"/>
      <c r="S15" s="40"/>
      <c r="T15" s="40"/>
      <c r="U15" s="40"/>
      <c r="V15" s="40"/>
      <c r="W15" s="100"/>
      <c r="AA15" s="1"/>
      <c r="AB15"/>
      <c r="AC15" s="1"/>
      <c r="AD15" s="1"/>
      <c r="AE15" s="1"/>
      <c r="AF15" s="1"/>
      <c r="AG15" s="1"/>
      <c r="AH15" s="1"/>
    </row>
    <row r="16" spans="2:36" ht="15" customHeight="1" thickBot="1" x14ac:dyDescent="0.25">
      <c r="B16" s="144" t="s">
        <v>48</v>
      </c>
      <c r="C16" s="145"/>
      <c r="D16" s="146"/>
      <c r="E16" s="28"/>
      <c r="F16" s="46"/>
      <c r="I16" s="12">
        <f t="shared" si="0"/>
        <v>1</v>
      </c>
      <c r="J16" s="21" t="e">
        <f t="shared" si="1"/>
        <v>#DIV/0!</v>
      </c>
      <c r="K16" s="22" t="e">
        <f t="shared" si="2"/>
        <v>#DIV/0!</v>
      </c>
      <c r="L16" s="23" t="e">
        <f t="shared" si="3"/>
        <v>#DIV/0!</v>
      </c>
      <c r="N16" s="99"/>
      <c r="O16" s="13"/>
      <c r="P16" s="13"/>
      <c r="Q16" s="13"/>
      <c r="R16" s="13"/>
      <c r="S16" s="40"/>
      <c r="T16" s="40"/>
      <c r="U16" s="40"/>
      <c r="V16" s="40"/>
      <c r="W16" s="100"/>
      <c r="AA16" s="1"/>
      <c r="AB16" s="1"/>
      <c r="AC16" s="1"/>
      <c r="AD16" s="1"/>
      <c r="AE16" s="1"/>
      <c r="AF16" s="1"/>
      <c r="AG16" s="1"/>
      <c r="AH16" s="1"/>
    </row>
    <row r="17" spans="2:36" ht="15" customHeight="1" x14ac:dyDescent="0.2">
      <c r="B17" s="163" t="s">
        <v>81</v>
      </c>
      <c r="C17" s="163"/>
      <c r="D17" s="163"/>
      <c r="E17" s="28"/>
      <c r="F17" s="43"/>
      <c r="I17" s="12">
        <f t="shared" si="0"/>
        <v>1</v>
      </c>
      <c r="J17" s="21" t="e">
        <f t="shared" si="1"/>
        <v>#DIV/0!</v>
      </c>
      <c r="K17" s="22" t="e">
        <f t="shared" si="2"/>
        <v>#DIV/0!</v>
      </c>
      <c r="L17" s="23" t="e">
        <f t="shared" si="3"/>
        <v>#DIV/0!</v>
      </c>
      <c r="N17" s="190" t="s">
        <v>72</v>
      </c>
      <c r="O17" s="112" t="s">
        <v>157</v>
      </c>
      <c r="P17" s="113"/>
      <c r="R17" s="57"/>
      <c r="S17" s="40"/>
      <c r="T17" s="40"/>
      <c r="U17" s="40"/>
      <c r="V17" s="40"/>
      <c r="W17" s="100"/>
      <c r="AA17" s="1"/>
      <c r="AB17" s="1"/>
      <c r="AC17" s="1"/>
      <c r="AD17" s="1"/>
      <c r="AE17" s="1"/>
      <c r="AF17" s="1"/>
      <c r="AG17" s="1"/>
      <c r="AH17" s="1"/>
    </row>
    <row r="18" spans="2:36" ht="15" customHeight="1" x14ac:dyDescent="0.2">
      <c r="B18" s="163" t="s">
        <v>49</v>
      </c>
      <c r="C18" s="163"/>
      <c r="D18" s="163"/>
      <c r="E18" s="28"/>
      <c r="F18" s="49"/>
      <c r="I18" s="12">
        <f t="shared" si="0"/>
        <v>1</v>
      </c>
      <c r="J18" s="21" t="e">
        <f t="shared" si="1"/>
        <v>#DIV/0!</v>
      </c>
      <c r="K18" s="22" t="e">
        <f t="shared" si="2"/>
        <v>#DIV/0!</v>
      </c>
      <c r="L18" s="23" t="e">
        <f t="shared" si="3"/>
        <v>#DIV/0!</v>
      </c>
      <c r="N18" s="99"/>
      <c r="O18" s="111" t="s">
        <v>166</v>
      </c>
      <c r="P18" s="13"/>
      <c r="Q18" s="40"/>
      <c r="R18" s="40"/>
      <c r="S18" s="40"/>
      <c r="T18" s="40"/>
      <c r="U18" s="40"/>
      <c r="V18" s="40"/>
      <c r="W18" s="100"/>
      <c r="AA18" s="1"/>
      <c r="AB18" s="1"/>
      <c r="AC18" s="1"/>
      <c r="AD18" s="1"/>
      <c r="AE18" s="1"/>
      <c r="AF18" s="1"/>
      <c r="AG18" s="1"/>
      <c r="AH18" s="1"/>
    </row>
    <row r="19" spans="2:36" ht="15" customHeight="1" x14ac:dyDescent="0.2">
      <c r="B19" s="163" t="s">
        <v>50</v>
      </c>
      <c r="C19" s="163"/>
      <c r="D19" s="163"/>
      <c r="E19" s="30"/>
      <c r="F19" s="47"/>
      <c r="I19" s="12">
        <f t="shared" si="0"/>
        <v>1</v>
      </c>
      <c r="J19" s="21" t="e">
        <f t="shared" si="1"/>
        <v>#DIV/0!</v>
      </c>
      <c r="K19" s="22" t="e">
        <f t="shared" si="2"/>
        <v>#DIV/0!</v>
      </c>
      <c r="L19" s="23" t="e">
        <f t="shared" si="3"/>
        <v>#DIV/0!</v>
      </c>
      <c r="N19" s="99"/>
      <c r="O19" s="114" t="s">
        <v>167</v>
      </c>
      <c r="P19" s="13"/>
      <c r="Q19" s="13"/>
      <c r="R19" s="13"/>
      <c r="S19" s="40"/>
      <c r="T19" s="40"/>
      <c r="U19" s="40"/>
      <c r="V19" s="40"/>
      <c r="W19" s="115"/>
      <c r="AA19" s="1"/>
      <c r="AB19" s="1"/>
      <c r="AC19" s="1"/>
      <c r="AD19" s="1"/>
      <c r="AE19" s="1"/>
      <c r="AF19" s="1"/>
      <c r="AG19" s="1"/>
      <c r="AH19" s="1"/>
    </row>
    <row r="20" spans="2:36" ht="15" customHeight="1" x14ac:dyDescent="0.2">
      <c r="B20" s="163" t="s">
        <v>76</v>
      </c>
      <c r="C20" s="163"/>
      <c r="D20" s="163"/>
      <c r="E20" s="30"/>
      <c r="F20" s="47">
        <f>(F19*F18)*3/12</f>
        <v>0</v>
      </c>
      <c r="I20" s="12">
        <f t="shared" si="0"/>
        <v>1</v>
      </c>
      <c r="J20" s="21" t="e">
        <f t="shared" si="1"/>
        <v>#DIV/0!</v>
      </c>
      <c r="K20" s="22" t="e">
        <f t="shared" si="2"/>
        <v>#DIV/0!</v>
      </c>
      <c r="L20" s="23" t="e">
        <f t="shared" si="3"/>
        <v>#DIV/0!</v>
      </c>
      <c r="N20" s="99"/>
      <c r="O20" s="116" t="s">
        <v>138</v>
      </c>
      <c r="P20" s="116"/>
      <c r="Q20" s="116"/>
      <c r="R20" s="116"/>
      <c r="S20" s="117"/>
      <c r="T20" s="116"/>
      <c r="U20" s="117"/>
      <c r="V20" s="117"/>
      <c r="W20" s="115"/>
      <c r="AA20" s="1"/>
      <c r="AB20" s="1"/>
      <c r="AC20" s="1"/>
      <c r="AD20" s="1"/>
      <c r="AE20" s="1"/>
      <c r="AI20" s="1"/>
      <c r="AJ20" s="1"/>
    </row>
    <row r="21" spans="2:36" ht="15" customHeight="1" x14ac:dyDescent="0.2">
      <c r="B21" s="163" t="s">
        <v>75</v>
      </c>
      <c r="C21" s="163"/>
      <c r="D21" s="163"/>
      <c r="E21" s="31"/>
      <c r="F21" s="47" t="str">
        <f>IF(F17="","",CHOOSE(MATCH(F17,V$59:V$73,1),W59,W60,W61,W62,W63,W64,W65,W66,W67,W68,W69,W70,W71,W72,W73))</f>
        <v/>
      </c>
      <c r="I21" s="12">
        <f t="shared" si="0"/>
        <v>1</v>
      </c>
      <c r="J21" s="21" t="e">
        <f t="shared" si="1"/>
        <v>#DIV/0!</v>
      </c>
      <c r="K21" s="22" t="e">
        <f t="shared" si="2"/>
        <v>#DIV/0!</v>
      </c>
      <c r="L21" s="23" t="e">
        <f t="shared" si="3"/>
        <v>#DIV/0!</v>
      </c>
      <c r="M21" s="46"/>
      <c r="N21" s="118"/>
      <c r="O21" s="116" t="s">
        <v>139</v>
      </c>
      <c r="P21" s="116"/>
      <c r="Q21" s="116"/>
      <c r="R21" s="116"/>
      <c r="S21" s="117"/>
      <c r="T21" s="117"/>
      <c r="U21" s="117"/>
      <c r="V21" s="117"/>
      <c r="W21" s="115"/>
      <c r="AA21" s="1"/>
      <c r="AB21" s="1"/>
      <c r="AC21" s="1"/>
      <c r="AD21" s="1"/>
      <c r="AE21" s="1"/>
      <c r="AI21" s="1"/>
      <c r="AJ21" s="1"/>
    </row>
    <row r="22" spans="2:36" ht="15" customHeight="1" x14ac:dyDescent="0.2">
      <c r="B22" s="163" t="s">
        <v>77</v>
      </c>
      <c r="C22" s="163"/>
      <c r="D22" s="163"/>
      <c r="E22" s="32"/>
      <c r="F22" s="47"/>
      <c r="I22" s="12">
        <f t="shared" si="0"/>
        <v>1</v>
      </c>
      <c r="J22" s="21" t="e">
        <f t="shared" si="1"/>
        <v>#DIV/0!</v>
      </c>
      <c r="K22" s="22" t="e">
        <f t="shared" si="2"/>
        <v>#DIV/0!</v>
      </c>
      <c r="L22" s="23" t="e">
        <f t="shared" si="3"/>
        <v>#DIV/0!</v>
      </c>
      <c r="N22" s="119"/>
      <c r="O22" s="116" t="s">
        <v>140</v>
      </c>
      <c r="P22" s="116"/>
      <c r="Q22" s="116"/>
      <c r="R22" s="116"/>
      <c r="S22" s="117"/>
      <c r="T22" s="117"/>
      <c r="U22" s="117"/>
      <c r="V22" s="117"/>
      <c r="W22" s="115"/>
      <c r="AA22" s="1"/>
      <c r="AB22" s="1"/>
      <c r="AC22" s="1"/>
      <c r="AD22" s="1"/>
      <c r="AE22" s="1"/>
      <c r="AI22" s="1"/>
      <c r="AJ22" s="1"/>
    </row>
    <row r="23" spans="2:36" ht="15" customHeight="1" thickBot="1" x14ac:dyDescent="0.25">
      <c r="B23" s="151" t="s">
        <v>51</v>
      </c>
      <c r="C23" s="151"/>
      <c r="D23" s="151"/>
      <c r="E23" s="37"/>
      <c r="F23" s="54">
        <f>O66</f>
        <v>968</v>
      </c>
      <c r="I23" s="12">
        <f t="shared" si="0"/>
        <v>1</v>
      </c>
      <c r="J23" s="21" t="e">
        <f t="shared" si="1"/>
        <v>#DIV/0!</v>
      </c>
      <c r="K23" s="22" t="e">
        <f t="shared" si="2"/>
        <v>#DIV/0!</v>
      </c>
      <c r="L23" s="23" t="e">
        <f t="shared" si="3"/>
        <v>#DIV/0!</v>
      </c>
      <c r="N23" s="99"/>
      <c r="O23" s="116" t="s">
        <v>141</v>
      </c>
      <c r="P23" s="116"/>
      <c r="Q23" s="116"/>
      <c r="R23" s="116"/>
      <c r="S23" s="117"/>
      <c r="T23" s="117"/>
      <c r="U23" s="117"/>
      <c r="V23" s="117"/>
      <c r="W23" s="100"/>
      <c r="AA23" s="1"/>
      <c r="AB23" s="1"/>
      <c r="AC23" s="1"/>
      <c r="AD23" s="1"/>
      <c r="AE23" s="1"/>
      <c r="AI23" s="1"/>
      <c r="AJ23" s="1"/>
    </row>
    <row r="24" spans="2:36" ht="15" customHeight="1" x14ac:dyDescent="0.2">
      <c r="F24" s="53">
        <f>SUM(F19:F23)</f>
        <v>968</v>
      </c>
      <c r="I24" s="12">
        <f t="shared" si="0"/>
        <v>1</v>
      </c>
      <c r="J24" s="21" t="e">
        <f t="shared" si="1"/>
        <v>#DIV/0!</v>
      </c>
      <c r="K24" s="22" t="e">
        <f t="shared" si="2"/>
        <v>#DIV/0!</v>
      </c>
      <c r="L24" s="23" t="e">
        <f t="shared" si="3"/>
        <v>#DIV/0!</v>
      </c>
      <c r="N24" s="99"/>
      <c r="O24" s="120" t="s">
        <v>142</v>
      </c>
      <c r="P24" s="120"/>
      <c r="Q24" s="13"/>
      <c r="R24" s="13"/>
      <c r="S24" s="40"/>
      <c r="T24" s="40"/>
      <c r="U24" s="40"/>
      <c r="V24" s="40"/>
      <c r="W24" s="100"/>
      <c r="AA24" s="1"/>
      <c r="AB24" s="1"/>
      <c r="AC24" s="1"/>
      <c r="AD24" s="1"/>
      <c r="AE24" s="1"/>
      <c r="AI24" s="1"/>
      <c r="AJ24" s="1"/>
    </row>
    <row r="25" spans="2:36" ht="15" customHeight="1" thickBot="1" x14ac:dyDescent="0.25">
      <c r="I25" s="12">
        <f t="shared" si="0"/>
        <v>1</v>
      </c>
      <c r="J25" s="21" t="e">
        <f t="shared" si="1"/>
        <v>#DIV/0!</v>
      </c>
      <c r="K25" s="22" t="e">
        <f t="shared" si="2"/>
        <v>#DIV/0!</v>
      </c>
      <c r="L25" s="23" t="e">
        <f t="shared" si="3"/>
        <v>#DIV/0!</v>
      </c>
      <c r="N25" s="121"/>
      <c r="O25" s="114" t="s">
        <v>168</v>
      </c>
      <c r="P25" s="13"/>
      <c r="Q25" s="13"/>
      <c r="R25" s="13"/>
      <c r="S25" s="40"/>
      <c r="T25" s="40"/>
      <c r="U25" s="40"/>
      <c r="V25" s="40"/>
      <c r="W25" s="100"/>
      <c r="AA25" s="1"/>
      <c r="AB25" s="1"/>
      <c r="AC25" s="1"/>
      <c r="AD25" s="1"/>
      <c r="AE25" s="1"/>
      <c r="AI25" s="1"/>
      <c r="AJ25" s="1"/>
    </row>
    <row r="26" spans="2:36" ht="15" customHeight="1" x14ac:dyDescent="0.2">
      <c r="B26" s="175" t="s">
        <v>52</v>
      </c>
      <c r="C26" s="176"/>
      <c r="D26" s="177"/>
      <c r="E26" s="37"/>
      <c r="F26" s="43"/>
      <c r="I26" s="12">
        <f t="shared" si="0"/>
        <v>1</v>
      </c>
      <c r="J26" s="21" t="e">
        <f t="shared" si="1"/>
        <v>#DIV/0!</v>
      </c>
      <c r="K26" s="22" t="e">
        <f t="shared" si="2"/>
        <v>#DIV/0!</v>
      </c>
      <c r="L26" s="23" t="e">
        <f t="shared" si="3"/>
        <v>#DIV/0!</v>
      </c>
      <c r="N26" s="99"/>
      <c r="O26" s="122" t="s">
        <v>169</v>
      </c>
      <c r="P26" s="13"/>
      <c r="Q26" s="13"/>
      <c r="R26" s="13"/>
      <c r="S26" s="40"/>
      <c r="T26" s="40"/>
      <c r="U26" s="40"/>
      <c r="V26" s="40"/>
      <c r="W26" s="100"/>
      <c r="AA26" s="1"/>
      <c r="AB26" s="1"/>
      <c r="AC26" s="1"/>
      <c r="AD26" s="1"/>
      <c r="AE26" s="1"/>
      <c r="AI26" s="1"/>
      <c r="AJ26" s="1"/>
    </row>
    <row r="27" spans="2:36" ht="15" customHeight="1" thickBot="1" x14ac:dyDescent="0.25">
      <c r="B27" s="166" t="s">
        <v>53</v>
      </c>
      <c r="C27" s="167"/>
      <c r="D27" s="168"/>
      <c r="E27" s="37"/>
      <c r="F27" s="45"/>
      <c r="I27" s="12">
        <f t="shared" si="0"/>
        <v>1</v>
      </c>
      <c r="J27" s="21" t="e">
        <f t="shared" si="1"/>
        <v>#DIV/0!</v>
      </c>
      <c r="K27" s="22" t="e">
        <f t="shared" si="2"/>
        <v>#DIV/0!</v>
      </c>
      <c r="L27" s="23" t="e">
        <f t="shared" si="3"/>
        <v>#DIV/0!</v>
      </c>
      <c r="N27" s="99"/>
      <c r="O27" s="13" t="s">
        <v>170</v>
      </c>
      <c r="P27" s="112"/>
      <c r="R27" s="40"/>
      <c r="S27" s="40"/>
      <c r="T27" s="40"/>
      <c r="U27" s="40"/>
      <c r="V27" s="40"/>
      <c r="W27" s="100"/>
      <c r="AA27" s="1"/>
      <c r="AB27" s="1"/>
      <c r="AC27" s="1"/>
      <c r="AD27" s="1"/>
      <c r="AE27" s="1"/>
      <c r="AF27" s="1"/>
      <c r="AG27" s="78"/>
      <c r="AH27" s="1"/>
      <c r="AI27" s="1"/>
      <c r="AJ27" s="1"/>
    </row>
    <row r="28" spans="2:36" ht="15" customHeight="1" thickBot="1" x14ac:dyDescent="0.25">
      <c r="B28" s="50"/>
      <c r="C28" s="50"/>
      <c r="D28" s="50"/>
      <c r="E28" s="50"/>
      <c r="F28" s="51"/>
      <c r="I28" s="12">
        <f t="shared" si="0"/>
        <v>1</v>
      </c>
      <c r="J28" s="21" t="e">
        <f t="shared" si="1"/>
        <v>#DIV/0!</v>
      </c>
      <c r="K28" s="22" t="e">
        <f t="shared" si="2"/>
        <v>#DIV/0!</v>
      </c>
      <c r="L28" s="23" t="e">
        <f t="shared" si="3"/>
        <v>#DIV/0!</v>
      </c>
      <c r="N28" s="99"/>
      <c r="O28" s="13" t="s">
        <v>171</v>
      </c>
      <c r="P28" s="114"/>
      <c r="R28" s="40"/>
      <c r="S28" s="40"/>
      <c r="T28" s="40"/>
      <c r="U28" s="40"/>
      <c r="V28" s="40"/>
      <c r="W28" s="100"/>
      <c r="AA28" s="1"/>
      <c r="AB28" s="1"/>
      <c r="AC28" s="1"/>
      <c r="AD28" s="1"/>
      <c r="AE28" s="1"/>
      <c r="AF28" s="1"/>
      <c r="AG28" s="79"/>
      <c r="AH28" s="1"/>
      <c r="AI28" s="1"/>
      <c r="AJ28" s="1"/>
    </row>
    <row r="29" spans="2:36" ht="15" customHeight="1" thickBot="1" x14ac:dyDescent="0.25">
      <c r="B29" s="169" t="s">
        <v>54</v>
      </c>
      <c r="C29" s="170"/>
      <c r="D29" s="171"/>
      <c r="E29" s="38"/>
      <c r="F29" s="52">
        <f>F14+F24-F26-F27</f>
        <v>2904</v>
      </c>
      <c r="I29" s="12">
        <f t="shared" si="0"/>
        <v>1</v>
      </c>
      <c r="J29" s="21" t="e">
        <f t="shared" si="1"/>
        <v>#DIV/0!</v>
      </c>
      <c r="K29" s="22" t="e">
        <f t="shared" si="2"/>
        <v>#DIV/0!</v>
      </c>
      <c r="L29" s="23" t="e">
        <f t="shared" si="3"/>
        <v>#DIV/0!</v>
      </c>
      <c r="N29" s="104"/>
      <c r="O29" s="105" t="s">
        <v>172</v>
      </c>
      <c r="P29" s="123"/>
      <c r="Q29" s="189"/>
      <c r="R29" s="108"/>
      <c r="S29" s="108"/>
      <c r="T29" s="108"/>
      <c r="U29" s="108"/>
      <c r="V29" s="108"/>
      <c r="W29" s="109"/>
      <c r="AA29" s="1"/>
      <c r="AB29" s="1"/>
      <c r="AC29" s="1"/>
      <c r="AD29" s="1"/>
      <c r="AE29" s="1"/>
      <c r="AF29" s="1"/>
      <c r="AG29" s="1"/>
      <c r="AH29" s="1"/>
      <c r="AI29" s="1"/>
      <c r="AJ29" s="1"/>
    </row>
    <row r="30" spans="2:36" ht="15" customHeight="1" thickBot="1" x14ac:dyDescent="0.25">
      <c r="C30" s="29"/>
      <c r="D30" s="30"/>
      <c r="E30" s="30"/>
      <c r="I30" s="12">
        <f t="shared" si="0"/>
        <v>1</v>
      </c>
      <c r="J30" s="21" t="e">
        <f t="shared" si="1"/>
        <v>#DIV/0!</v>
      </c>
      <c r="K30" s="22" t="e">
        <f t="shared" si="2"/>
        <v>#DIV/0!</v>
      </c>
      <c r="L30" s="23" t="e">
        <f t="shared" si="3"/>
        <v>#DIV/0!</v>
      </c>
      <c r="N30" s="87" t="s">
        <v>143</v>
      </c>
      <c r="O30" s="124"/>
      <c r="P30" s="124"/>
      <c r="Q30" s="13"/>
      <c r="R30" s="13"/>
      <c r="S30" s="13"/>
      <c r="T30" s="40"/>
      <c r="U30" s="40"/>
      <c r="V30" s="40"/>
      <c r="W30" s="40"/>
      <c r="AA30" s="1"/>
      <c r="AB30" s="1"/>
      <c r="AC30" s="1"/>
      <c r="AD30" s="1"/>
      <c r="AE30" s="1"/>
      <c r="AF30" s="1"/>
      <c r="AG30" s="1"/>
      <c r="AH30" s="1"/>
      <c r="AI30" s="1"/>
      <c r="AJ30" s="1"/>
    </row>
    <row r="31" spans="2:36" ht="15" customHeight="1" thickBot="1" x14ac:dyDescent="0.25">
      <c r="B31" s="157" t="s">
        <v>156</v>
      </c>
      <c r="C31" s="165"/>
      <c r="D31" s="135"/>
      <c r="E31" s="135"/>
      <c r="I31" s="12">
        <f t="shared" si="0"/>
        <v>1</v>
      </c>
      <c r="J31" s="21" t="e">
        <f t="shared" si="1"/>
        <v>#DIV/0!</v>
      </c>
      <c r="K31" s="22" t="e">
        <f t="shared" si="2"/>
        <v>#DIV/0!</v>
      </c>
      <c r="L31" s="23" t="e">
        <f t="shared" si="3"/>
        <v>#DIV/0!</v>
      </c>
      <c r="N31" s="125" t="s">
        <v>144</v>
      </c>
      <c r="O31" s="126"/>
      <c r="P31" s="124"/>
      <c r="Q31" s="127" t="s">
        <v>145</v>
      </c>
      <c r="R31" s="13"/>
      <c r="S31" s="13"/>
      <c r="T31" s="128" t="s">
        <v>146</v>
      </c>
      <c r="U31" s="40"/>
      <c r="V31" s="40"/>
      <c r="W31" s="40"/>
      <c r="AA31" s="1"/>
      <c r="AB31" s="1"/>
      <c r="AC31" s="1"/>
      <c r="AD31" s="1"/>
      <c r="AE31" s="1"/>
      <c r="AF31" s="1"/>
      <c r="AG31" s="1"/>
      <c r="AH31" s="1"/>
      <c r="AI31" s="1"/>
      <c r="AJ31" s="1"/>
    </row>
    <row r="32" spans="2:36" ht="15" customHeight="1" thickBot="1" x14ac:dyDescent="0.25">
      <c r="C32" s="29"/>
      <c r="D32" s="32"/>
      <c r="E32" s="32"/>
      <c r="I32" s="12">
        <f t="shared" si="0"/>
        <v>1</v>
      </c>
      <c r="J32" s="21" t="e">
        <f t="shared" si="1"/>
        <v>#DIV/0!</v>
      </c>
      <c r="K32" s="22" t="e">
        <f t="shared" si="2"/>
        <v>#DIV/0!</v>
      </c>
      <c r="L32" s="23" t="e">
        <f t="shared" si="3"/>
        <v>#DIV/0!</v>
      </c>
      <c r="N32" s="13" t="s">
        <v>173</v>
      </c>
      <c r="O32" s="13"/>
      <c r="P32" s="13"/>
      <c r="Q32" s="13" t="s">
        <v>147</v>
      </c>
      <c r="R32" s="13"/>
      <c r="S32" s="13"/>
      <c r="T32" s="40" t="s">
        <v>148</v>
      </c>
      <c r="U32" s="40"/>
      <c r="V32" s="10"/>
      <c r="W32" s="40"/>
      <c r="AA32" s="1"/>
      <c r="AB32" s="1"/>
      <c r="AC32" s="1"/>
      <c r="AD32" s="1"/>
      <c r="AE32" s="1"/>
      <c r="AF32" s="1"/>
      <c r="AG32" s="1"/>
      <c r="AH32" s="1"/>
      <c r="AI32" s="1"/>
      <c r="AJ32" s="1"/>
    </row>
    <row r="33" spans="2:36" ht="15" customHeight="1" thickBot="1" x14ac:dyDescent="0.25">
      <c r="B33" s="14" t="s">
        <v>154</v>
      </c>
      <c r="C33" s="56">
        <f>F29</f>
        <v>2904</v>
      </c>
      <c r="D33" s="131"/>
      <c r="E33" s="83"/>
      <c r="I33" s="12">
        <f t="shared" si="0"/>
        <v>1</v>
      </c>
      <c r="J33" s="21" t="e">
        <f t="shared" si="1"/>
        <v>#DIV/0!</v>
      </c>
      <c r="K33" s="22" t="e">
        <f t="shared" si="2"/>
        <v>#DIV/0!</v>
      </c>
      <c r="L33" s="23" t="e">
        <f t="shared" si="3"/>
        <v>#DIV/0!</v>
      </c>
      <c r="N33" s="10"/>
      <c r="O33" s="13"/>
      <c r="P33" s="13"/>
      <c r="Q33" s="13" t="s">
        <v>149</v>
      </c>
      <c r="R33" s="13"/>
      <c r="S33" s="13"/>
      <c r="T33" s="40" t="s">
        <v>150</v>
      </c>
      <c r="U33" s="40"/>
      <c r="V33" s="10"/>
      <c r="W33" s="40"/>
      <c r="AA33" s="1"/>
      <c r="AB33" s="1"/>
      <c r="AC33" s="1"/>
      <c r="AD33" s="1"/>
      <c r="AE33" s="1"/>
      <c r="AF33" s="1"/>
      <c r="AG33" s="1"/>
      <c r="AH33" s="1"/>
      <c r="AI33" s="1"/>
      <c r="AJ33" s="1"/>
    </row>
    <row r="34" spans="2:36" ht="15" customHeight="1" thickBot="1" x14ac:dyDescent="0.25">
      <c r="B34" s="15" t="s">
        <v>5</v>
      </c>
      <c r="C34" s="41"/>
      <c r="D34" s="39"/>
      <c r="E34" s="28"/>
      <c r="F34" s="30"/>
      <c r="I34" s="12">
        <f t="shared" si="0"/>
        <v>1</v>
      </c>
      <c r="J34" s="21" t="e">
        <f t="shared" si="1"/>
        <v>#DIV/0!</v>
      </c>
      <c r="K34" s="22" t="e">
        <f t="shared" si="2"/>
        <v>#DIV/0!</v>
      </c>
      <c r="L34" s="23" t="e">
        <f t="shared" si="3"/>
        <v>#DIV/0!</v>
      </c>
      <c r="N34" s="10"/>
      <c r="O34" s="13"/>
      <c r="P34" s="13"/>
      <c r="Q34" s="13" t="s">
        <v>151</v>
      </c>
      <c r="R34" s="13"/>
      <c r="S34" s="13"/>
      <c r="T34" s="40" t="s">
        <v>152</v>
      </c>
      <c r="U34" s="40"/>
      <c r="V34" s="10"/>
      <c r="W34" s="40"/>
      <c r="AA34" s="1"/>
      <c r="AB34" s="1"/>
      <c r="AC34" s="1"/>
      <c r="AD34" s="1"/>
      <c r="AE34" s="1"/>
      <c r="AF34" s="1"/>
      <c r="AG34" s="1"/>
      <c r="AH34" s="1"/>
      <c r="AI34" s="1"/>
      <c r="AJ34" s="1"/>
    </row>
    <row r="35" spans="2:36" ht="15" customHeight="1" thickBot="1" x14ac:dyDescent="0.25">
      <c r="B35" s="16" t="s">
        <v>6</v>
      </c>
      <c r="C35" s="42"/>
      <c r="D35" s="33"/>
      <c r="E35" s="33"/>
      <c r="F35" s="39"/>
      <c r="I35" s="27" t="s">
        <v>44</v>
      </c>
      <c r="J35" s="24" t="e">
        <f>SUM(J5:J34)</f>
        <v>#DIV/0!</v>
      </c>
      <c r="K35" s="25" t="e">
        <f>SUM(K5:K34)</f>
        <v>#DIV/0!</v>
      </c>
      <c r="L35" s="26"/>
      <c r="W35" s="40"/>
      <c r="AA35" s="1"/>
      <c r="AB35" s="1"/>
      <c r="AC35" s="1"/>
      <c r="AD35" s="1"/>
      <c r="AE35" s="1"/>
      <c r="AF35" s="1"/>
      <c r="AG35" s="1"/>
      <c r="AH35" s="1"/>
      <c r="AI35" s="1"/>
      <c r="AJ35" s="1"/>
    </row>
    <row r="36" spans="2:36" ht="15" customHeight="1" thickBot="1" x14ac:dyDescent="0.25">
      <c r="B36" s="34"/>
      <c r="C36" s="29"/>
      <c r="D36" s="35"/>
      <c r="E36" s="35"/>
      <c r="F36" s="40"/>
      <c r="W36" s="40"/>
      <c r="AA36" s="1"/>
      <c r="AB36" s="1"/>
      <c r="AC36" s="1"/>
      <c r="AD36" s="1"/>
      <c r="AE36" s="1"/>
      <c r="AF36" s="1"/>
      <c r="AG36" s="1"/>
      <c r="AH36" s="1"/>
      <c r="AI36" s="1"/>
      <c r="AJ36" s="1"/>
    </row>
    <row r="37" spans="2:36" ht="15" customHeight="1" thickBot="1" x14ac:dyDescent="0.25">
      <c r="B37" s="17" t="s">
        <v>4</v>
      </c>
      <c r="C37" s="55" t="e">
        <f xml:space="preserve"> clCapital * clTauxAnnuel / (1 - 1 / (1 + clTauxAnnuel) ^ clDuree)</f>
        <v>#DIV/0!</v>
      </c>
      <c r="D37" s="30"/>
      <c r="E37" s="30"/>
      <c r="F37" s="36"/>
      <c r="W37" s="40"/>
      <c r="AA37" s="1"/>
      <c r="AB37" s="1"/>
      <c r="AC37" s="1"/>
      <c r="AD37" s="1"/>
      <c r="AE37" s="1"/>
      <c r="AF37" s="1"/>
      <c r="AG37" s="1"/>
      <c r="AH37" s="1"/>
      <c r="AI37" s="1"/>
      <c r="AJ37" s="1"/>
    </row>
    <row r="38" spans="2:36" ht="15" customHeight="1" thickBot="1" x14ac:dyDescent="0.25">
      <c r="B38" s="14" t="s">
        <v>43</v>
      </c>
      <c r="C38" s="188" t="e">
        <f>clAnnuite/12</f>
        <v>#DIV/0!</v>
      </c>
      <c r="D38" s="35"/>
      <c r="E38" s="35"/>
      <c r="F38" s="30"/>
      <c r="AA38" s="1"/>
      <c r="AB38" s="1"/>
      <c r="AC38" s="1"/>
      <c r="AD38" s="1"/>
      <c r="AE38" s="1"/>
      <c r="AF38" s="1"/>
      <c r="AG38" s="1"/>
      <c r="AH38" s="1"/>
      <c r="AI38" s="1"/>
      <c r="AJ38" s="1"/>
    </row>
    <row r="39" spans="2:36" ht="15" customHeight="1" x14ac:dyDescent="0.2">
      <c r="F39" s="36"/>
      <c r="AA39" s="1"/>
      <c r="AB39" s="1"/>
      <c r="AC39" s="1"/>
      <c r="AD39" s="1"/>
      <c r="AE39" s="1"/>
      <c r="AF39" s="1"/>
      <c r="AG39" s="1"/>
      <c r="AH39" s="1"/>
      <c r="AI39" s="1"/>
      <c r="AJ39" s="1"/>
    </row>
    <row r="40" spans="2:36" ht="15" customHeight="1" x14ac:dyDescent="0.2">
      <c r="C40" s="29"/>
      <c r="D40" s="28"/>
      <c r="E40" s="28"/>
      <c r="AA40" s="1"/>
      <c r="AB40" s="1"/>
      <c r="AC40" s="1"/>
      <c r="AD40" s="1"/>
      <c r="AE40" s="1"/>
      <c r="AF40" s="1"/>
      <c r="AG40" s="1"/>
      <c r="AH40" s="1"/>
      <c r="AI40" s="1"/>
      <c r="AJ40" s="1"/>
    </row>
    <row r="41" spans="2:36" ht="15" customHeight="1" x14ac:dyDescent="0.2">
      <c r="C41" s="29"/>
      <c r="D41" s="35"/>
      <c r="E41" s="35"/>
      <c r="AA41" s="1"/>
      <c r="AB41" s="1"/>
      <c r="AC41" s="1"/>
      <c r="AD41" s="1"/>
      <c r="AE41" s="1"/>
      <c r="AF41" s="1"/>
      <c r="AG41" s="1"/>
      <c r="AH41" s="1"/>
      <c r="AI41" s="1"/>
      <c r="AJ41" s="1"/>
    </row>
    <row r="42" spans="2:36" ht="15" customHeight="1" x14ac:dyDescent="0.2">
      <c r="B42" s="28"/>
      <c r="C42" s="28"/>
      <c r="D42" s="28"/>
      <c r="E42" s="28"/>
      <c r="F42" s="28"/>
      <c r="AA42" s="1"/>
      <c r="AB42" s="1"/>
      <c r="AC42" s="1"/>
      <c r="AD42" s="1"/>
      <c r="AE42" s="1"/>
      <c r="AF42" s="1"/>
      <c r="AG42" s="1"/>
      <c r="AH42" s="1"/>
      <c r="AI42" s="1"/>
      <c r="AJ42" s="1"/>
    </row>
    <row r="43" spans="2:36" ht="15" customHeight="1" x14ac:dyDescent="0.2"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</row>
    <row r="44" spans="2:36" ht="15" customHeight="1" x14ac:dyDescent="0.2"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</row>
    <row r="45" spans="2:36" ht="15" customHeight="1" x14ac:dyDescent="0.2">
      <c r="M45" s="46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</row>
    <row r="46" spans="2:36" ht="15" customHeight="1" x14ac:dyDescent="0.2">
      <c r="N46" s="46"/>
      <c r="O46" s="46"/>
      <c r="P46" s="46"/>
      <c r="Q46" s="70"/>
    </row>
    <row r="49" spans="1:33" ht="15" customHeight="1" x14ac:dyDescent="0.2">
      <c r="H49" s="92"/>
      <c r="I49" s="93"/>
    </row>
    <row r="57" spans="1:33" ht="15" customHeight="1" x14ac:dyDescent="0.2">
      <c r="A57" s="153" t="s">
        <v>128</v>
      </c>
      <c r="B57" s="154"/>
      <c r="C57" s="155"/>
      <c r="D57" s="94"/>
      <c r="E57" s="94"/>
      <c r="F57" s="94"/>
      <c r="G57" s="91" t="s">
        <v>129</v>
      </c>
      <c r="M57" s="90" t="s">
        <v>130</v>
      </c>
      <c r="S57" s="132" t="s">
        <v>131</v>
      </c>
      <c r="T57" s="133" t="s">
        <v>55</v>
      </c>
      <c r="U57" s="133" t="s">
        <v>132</v>
      </c>
      <c r="V57" s="156" t="s">
        <v>75</v>
      </c>
      <c r="W57" s="156"/>
      <c r="X57" s="138" t="s">
        <v>120</v>
      </c>
      <c r="Y57" s="138"/>
      <c r="Z57" s="138"/>
      <c r="AA57" s="87"/>
      <c r="AB57" s="87"/>
      <c r="AC57" s="87"/>
      <c r="AD57" s="87"/>
    </row>
    <row r="58" spans="1:33" ht="15" customHeight="1" x14ac:dyDescent="0.25">
      <c r="A58" s="95" t="s">
        <v>69</v>
      </c>
      <c r="G58" s="95" t="s">
        <v>70</v>
      </c>
      <c r="M58" s="95" t="s">
        <v>70</v>
      </c>
      <c r="N58" s="73"/>
      <c r="S58" s="57"/>
      <c r="V58" s="58"/>
      <c r="W58" s="58"/>
      <c r="X58" s="1">
        <v>1300</v>
      </c>
      <c r="Y58" s="1">
        <v>1300</v>
      </c>
      <c r="Z58" s="1" t="s">
        <v>119</v>
      </c>
      <c r="AC58" s="1" t="s">
        <v>121</v>
      </c>
      <c r="AD58" s="82">
        <f>F7</f>
        <v>1300</v>
      </c>
      <c r="AE58" s="1" t="str">
        <f>IF(VLOOKUP(AD58,$Y$58:$AA$95,2)=AD58,VLOOKUP(AD58,$Y$58:$AA$95,3),"Oups!")</f>
        <v>Oups!</v>
      </c>
      <c r="AF58" s="1">
        <v>0</v>
      </c>
      <c r="AG58" s="1">
        <v>745</v>
      </c>
    </row>
    <row r="59" spans="1:33" ht="15" customHeight="1" x14ac:dyDescent="0.25">
      <c r="A59" s="38" t="s">
        <v>80</v>
      </c>
      <c r="D59" s="65">
        <f>F10</f>
        <v>0</v>
      </c>
      <c r="G59" s="84" t="s">
        <v>79</v>
      </c>
      <c r="J59" s="66">
        <f>(F4+F12)</f>
        <v>0</v>
      </c>
      <c r="M59" s="84" t="s">
        <v>79</v>
      </c>
      <c r="O59" s="66">
        <f>F17</f>
        <v>0</v>
      </c>
      <c r="S59" s="88" t="s">
        <v>71</v>
      </c>
      <c r="T59" s="60">
        <v>15000</v>
      </c>
      <c r="U59" s="61">
        <v>0.05</v>
      </c>
      <c r="V59" s="62">
        <v>25000</v>
      </c>
      <c r="W59" s="63">
        <v>391.1</v>
      </c>
      <c r="X59" s="1">
        <v>1310</v>
      </c>
      <c r="Y59" s="1">
        <v>1310</v>
      </c>
      <c r="Z59" s="1" t="s">
        <v>102</v>
      </c>
      <c r="AC59" s="1" t="s">
        <v>122</v>
      </c>
      <c r="AD59" s="80">
        <f>F8</f>
        <v>0</v>
      </c>
      <c r="AE59" s="1"/>
      <c r="AF59" s="1">
        <v>1</v>
      </c>
      <c r="AG59" s="1">
        <v>745</v>
      </c>
    </row>
    <row r="60" spans="1:33" ht="15" customHeight="1" x14ac:dyDescent="0.25">
      <c r="A60" s="84" t="s">
        <v>45</v>
      </c>
      <c r="D60" s="66">
        <f>F4</f>
        <v>0</v>
      </c>
      <c r="G60" s="84" t="s">
        <v>65</v>
      </c>
      <c r="H60" s="72"/>
      <c r="I60" s="72"/>
      <c r="J60" s="68">
        <f>(J59*0.01)*1.1</f>
        <v>0</v>
      </c>
      <c r="M60" s="84" t="s">
        <v>65</v>
      </c>
      <c r="O60" s="68">
        <f>(O59*0.01)*1.1</f>
        <v>0</v>
      </c>
      <c r="S60" s="89" t="s">
        <v>72</v>
      </c>
      <c r="T60" s="60">
        <v>25000</v>
      </c>
      <c r="U60" s="61">
        <v>0.06</v>
      </c>
      <c r="V60" s="62">
        <v>30000</v>
      </c>
      <c r="W60" s="63">
        <v>423.98</v>
      </c>
      <c r="X60" s="1">
        <v>1315</v>
      </c>
      <c r="Y60" s="1">
        <v>1315</v>
      </c>
      <c r="Z60" s="1" t="s">
        <v>98</v>
      </c>
      <c r="AC60" s="1" t="s">
        <v>123</v>
      </c>
      <c r="AD60" s="82">
        <f>F9</f>
        <v>0</v>
      </c>
      <c r="AE60" s="1"/>
      <c r="AF60" s="1">
        <v>2</v>
      </c>
      <c r="AG60" s="1">
        <v>745</v>
      </c>
    </row>
    <row r="61" spans="1:33" ht="15" customHeight="1" x14ac:dyDescent="0.2">
      <c r="A61" s="84" t="s">
        <v>55</v>
      </c>
      <c r="D61" s="66">
        <f>F6</f>
        <v>0</v>
      </c>
      <c r="G61" s="84" t="s">
        <v>64</v>
      </c>
      <c r="H61" s="72"/>
      <c r="J61" s="68">
        <f>K90</f>
        <v>0</v>
      </c>
      <c r="M61" s="84" t="s">
        <v>64</v>
      </c>
      <c r="O61" s="68">
        <f>Q90</f>
        <v>0</v>
      </c>
      <c r="S61" s="38" t="s">
        <v>73</v>
      </c>
      <c r="T61" s="60">
        <v>35000</v>
      </c>
      <c r="U61" s="61">
        <v>0.1</v>
      </c>
      <c r="V61" s="62">
        <v>40000</v>
      </c>
      <c r="W61" s="63">
        <v>431.08</v>
      </c>
      <c r="X61" s="75">
        <v>1320</v>
      </c>
      <c r="Y61" s="75">
        <v>1320</v>
      </c>
      <c r="Z61" s="1" t="s">
        <v>85</v>
      </c>
      <c r="AC61" s="1" t="s">
        <v>125</v>
      </c>
      <c r="AD61" s="1">
        <f>VLOOKUP(AD60,$AF$58:$AG$65,2)</f>
        <v>745</v>
      </c>
      <c r="AE61" s="1"/>
      <c r="AF61" s="1">
        <v>3</v>
      </c>
      <c r="AG61" s="1">
        <v>845</v>
      </c>
    </row>
    <row r="62" spans="1:33" ht="15" customHeight="1" x14ac:dyDescent="0.2">
      <c r="A62" s="38" t="s">
        <v>68</v>
      </c>
      <c r="D62" s="67">
        <f>(D60-D61)*D59</f>
        <v>0</v>
      </c>
      <c r="G62" s="84" t="s">
        <v>63</v>
      </c>
      <c r="H62" s="84">
        <v>7500</v>
      </c>
      <c r="J62" s="68">
        <v>800</v>
      </c>
      <c r="M62" s="84" t="s">
        <v>63</v>
      </c>
      <c r="O62" s="68">
        <v>800</v>
      </c>
      <c r="S62" s="64"/>
      <c r="T62" s="60">
        <v>60000</v>
      </c>
      <c r="U62" s="61">
        <v>0.125</v>
      </c>
      <c r="V62" s="62">
        <v>50000</v>
      </c>
      <c r="W62" s="63">
        <v>453.29</v>
      </c>
      <c r="X62" s="1">
        <v>1325</v>
      </c>
      <c r="Y62" s="1">
        <v>1325</v>
      </c>
      <c r="Z62" s="1" t="s">
        <v>89</v>
      </c>
      <c r="AC62" s="1" t="s">
        <v>126</v>
      </c>
      <c r="AD62" s="1" t="str">
        <f>IF(AD59&lt;(AD61+1),"Y","N")</f>
        <v>Y</v>
      </c>
      <c r="AE62" s="1"/>
      <c r="AF62" s="1">
        <v>4</v>
      </c>
      <c r="AG62" s="1">
        <v>845</v>
      </c>
    </row>
    <row r="63" spans="1:33" ht="15" customHeight="1" x14ac:dyDescent="0.2">
      <c r="A63" s="38" t="s">
        <v>67</v>
      </c>
      <c r="D63" s="68">
        <f>E90</f>
        <v>0</v>
      </c>
      <c r="G63" s="84" t="s">
        <v>62</v>
      </c>
      <c r="H63" s="84" t="s">
        <v>56</v>
      </c>
      <c r="J63" s="68">
        <f>J59*0.003</f>
        <v>0</v>
      </c>
      <c r="M63" s="84" t="s">
        <v>62</v>
      </c>
      <c r="O63" s="68">
        <f>O59*0.003</f>
        <v>0</v>
      </c>
      <c r="S63" s="64"/>
      <c r="T63" s="60"/>
      <c r="V63" s="62">
        <v>60000</v>
      </c>
      <c r="W63" s="63">
        <v>464.69</v>
      </c>
      <c r="X63" s="1">
        <v>1330</v>
      </c>
      <c r="Y63" s="1">
        <v>1330</v>
      </c>
      <c r="Z63" s="1" t="s">
        <v>112</v>
      </c>
      <c r="AC63" s="1" t="s">
        <v>124</v>
      </c>
      <c r="AD63" s="1" t="str">
        <f>IF(VLOOKUP(AD58,$Y$58:$AA$95,2)=AD58,"Y","N")</f>
        <v>N</v>
      </c>
      <c r="AE63" s="1"/>
      <c r="AF63" s="1">
        <v>5</v>
      </c>
      <c r="AG63" s="1">
        <v>945</v>
      </c>
    </row>
    <row r="64" spans="1:33" ht="15" customHeight="1" x14ac:dyDescent="0.2">
      <c r="A64" s="38" t="s">
        <v>63</v>
      </c>
      <c r="D64" s="68">
        <v>800</v>
      </c>
      <c r="G64" s="84" t="s">
        <v>61</v>
      </c>
      <c r="H64" s="38"/>
      <c r="J64" s="68">
        <f>J59*0.001</f>
        <v>0</v>
      </c>
      <c r="M64" s="84" t="s">
        <v>61</v>
      </c>
      <c r="O64" s="68">
        <f>O59*0.001</f>
        <v>0</v>
      </c>
      <c r="S64" s="64"/>
      <c r="V64" s="62">
        <v>70000</v>
      </c>
      <c r="W64" s="63">
        <v>472.58</v>
      </c>
      <c r="X64" s="1">
        <v>1340</v>
      </c>
      <c r="Y64" s="1">
        <v>1340</v>
      </c>
      <c r="Z64" s="1" t="s">
        <v>108</v>
      </c>
      <c r="AC64" s="1" t="s">
        <v>127</v>
      </c>
      <c r="AD64" s="1">
        <f>IF(AD62="N",+F4*0.125,IF(AD63="Y",160000*0.06+(F4-160000)*0.125,150000*0.06+(F4-150000)*0.125))</f>
        <v>-9750</v>
      </c>
      <c r="AE64" s="1"/>
      <c r="AF64" s="1">
        <v>6</v>
      </c>
      <c r="AG64" s="1">
        <v>945</v>
      </c>
    </row>
    <row r="65" spans="1:33" ht="15" customHeight="1" x14ac:dyDescent="0.2">
      <c r="A65" s="38" t="s">
        <v>60</v>
      </c>
      <c r="D65" s="68">
        <f>(D63+D64)*21%</f>
        <v>168</v>
      </c>
      <c r="G65" s="84" t="s">
        <v>60</v>
      </c>
      <c r="H65" s="84">
        <v>17500</v>
      </c>
      <c r="J65" s="68">
        <f>(J61+J62)*21%</f>
        <v>168</v>
      </c>
      <c r="M65" s="84" t="s">
        <v>60</v>
      </c>
      <c r="O65" s="68">
        <f>(O61+O62)*21%</f>
        <v>168</v>
      </c>
      <c r="S65" s="64"/>
      <c r="V65" s="62">
        <v>80000</v>
      </c>
      <c r="W65" s="63">
        <v>496.1</v>
      </c>
      <c r="X65" s="1">
        <v>1350</v>
      </c>
      <c r="Y65" s="1">
        <v>1350</v>
      </c>
      <c r="Z65" s="1" t="s">
        <v>107</v>
      </c>
      <c r="AF65" s="1">
        <v>7</v>
      </c>
      <c r="AG65" s="1">
        <v>1045</v>
      </c>
    </row>
    <row r="66" spans="1:33" ht="15" customHeight="1" x14ac:dyDescent="0.2">
      <c r="A66" s="72" t="s">
        <v>66</v>
      </c>
      <c r="D66" s="66">
        <f>D62+D63+D64+D65</f>
        <v>968</v>
      </c>
      <c r="G66" s="72" t="s">
        <v>78</v>
      </c>
      <c r="H66" s="84" t="s">
        <v>56</v>
      </c>
      <c r="J66" s="66">
        <f>SUM(J60:J65)</f>
        <v>968</v>
      </c>
      <c r="M66" s="72" t="s">
        <v>78</v>
      </c>
      <c r="O66" s="66">
        <f>SUM(O60:O65)</f>
        <v>968</v>
      </c>
      <c r="S66" s="64"/>
      <c r="V66" s="62">
        <v>90000</v>
      </c>
      <c r="W66" s="63">
        <v>501.8</v>
      </c>
      <c r="X66" s="1">
        <v>1357</v>
      </c>
      <c r="Y66" s="1">
        <v>1357</v>
      </c>
      <c r="Z66" s="1" t="s">
        <v>97</v>
      </c>
    </row>
    <row r="67" spans="1:33" ht="15" customHeight="1" x14ac:dyDescent="0.2">
      <c r="H67" s="38"/>
      <c r="S67" s="64"/>
      <c r="V67" s="62">
        <v>100000</v>
      </c>
      <c r="W67" s="63">
        <v>525.33000000000004</v>
      </c>
      <c r="X67" s="1">
        <v>1360</v>
      </c>
      <c r="Y67" s="1">
        <v>1360</v>
      </c>
      <c r="Z67" s="1" t="s">
        <v>109</v>
      </c>
    </row>
    <row r="68" spans="1:33" ht="15" customHeight="1" x14ac:dyDescent="0.2">
      <c r="A68" s="143" t="s">
        <v>69</v>
      </c>
      <c r="B68" s="143"/>
      <c r="C68" s="143"/>
      <c r="D68" s="143"/>
      <c r="E68" s="143"/>
      <c r="G68" s="71" t="s">
        <v>70</v>
      </c>
      <c r="J68" s="72"/>
      <c r="M68" s="71" t="s">
        <v>70</v>
      </c>
      <c r="S68" s="64"/>
      <c r="V68" s="62">
        <v>125000</v>
      </c>
      <c r="W68" s="63">
        <v>557.97</v>
      </c>
      <c r="X68" s="1">
        <v>1367</v>
      </c>
      <c r="Y68" s="1">
        <v>1367</v>
      </c>
      <c r="Z68" s="1" t="s">
        <v>111</v>
      </c>
    </row>
    <row r="69" spans="1:33" ht="15" customHeight="1" x14ac:dyDescent="0.25">
      <c r="A69" s="142" t="s">
        <v>59</v>
      </c>
      <c r="B69" s="142"/>
      <c r="C69" s="72" t="s">
        <v>58</v>
      </c>
      <c r="D69" s="72" t="s">
        <v>57</v>
      </c>
      <c r="E69" s="72" t="s">
        <v>44</v>
      </c>
      <c r="G69" s="72" t="s">
        <v>59</v>
      </c>
      <c r="I69" s="72" t="s">
        <v>58</v>
      </c>
      <c r="J69" s="72" t="s">
        <v>57</v>
      </c>
      <c r="K69" s="72" t="s">
        <v>44</v>
      </c>
      <c r="M69" s="72" t="s">
        <v>59</v>
      </c>
      <c r="O69" s="72" t="s">
        <v>58</v>
      </c>
      <c r="P69" s="72" t="s">
        <v>57</v>
      </c>
      <c r="Q69" s="72" t="s">
        <v>44</v>
      </c>
      <c r="S69" s="64"/>
      <c r="T69" s="69"/>
      <c r="U69" s="69"/>
      <c r="V69" s="62">
        <v>150000</v>
      </c>
      <c r="W69" s="63">
        <v>589.47</v>
      </c>
      <c r="X69" s="1">
        <v>1370</v>
      </c>
      <c r="Y69" s="1">
        <v>1370</v>
      </c>
      <c r="Z69" s="1" t="s">
        <v>101</v>
      </c>
    </row>
    <row r="70" spans="1:33" ht="15" customHeight="1" x14ac:dyDescent="0.25">
      <c r="A70" s="84">
        <v>0</v>
      </c>
      <c r="B70" s="84">
        <v>7500</v>
      </c>
      <c r="C70" s="38">
        <f>B70-A70</f>
        <v>7500</v>
      </c>
      <c r="D70" s="84">
        <v>4.5600000000000002E-2</v>
      </c>
      <c r="E70" s="38">
        <f>IF(D60&lt;=B70,D60*D70)</f>
        <v>0</v>
      </c>
      <c r="G70" s="84">
        <v>0</v>
      </c>
      <c r="H70" s="84">
        <v>30000</v>
      </c>
      <c r="I70" s="38">
        <f>H62-G70</f>
        <v>7500</v>
      </c>
      <c r="J70" s="84">
        <v>1.7100000000000001E-2</v>
      </c>
      <c r="K70" s="38">
        <f>IF(J59&lt;=H62,J59*J70)</f>
        <v>0</v>
      </c>
      <c r="M70" s="84">
        <v>0</v>
      </c>
      <c r="N70" s="72"/>
      <c r="O70" s="38">
        <f>N71-M70</f>
        <v>7500</v>
      </c>
      <c r="P70" s="84">
        <v>1.7100000000000001E-2</v>
      </c>
      <c r="Q70" s="38">
        <f>IF(O59&lt;=N71,O59*P70)</f>
        <v>0</v>
      </c>
      <c r="S70" s="64"/>
      <c r="T70" s="69"/>
      <c r="U70" s="69"/>
      <c r="V70" s="62">
        <v>175000</v>
      </c>
      <c r="W70" s="63">
        <v>623.26</v>
      </c>
      <c r="X70" s="1">
        <v>1380</v>
      </c>
      <c r="Y70" s="1">
        <v>1380</v>
      </c>
      <c r="Z70" s="1" t="s">
        <v>103</v>
      </c>
    </row>
    <row r="71" spans="1:33" ht="15" customHeight="1" x14ac:dyDescent="0.25">
      <c r="A71" s="38"/>
      <c r="B71" s="84" t="s">
        <v>56</v>
      </c>
      <c r="C71" s="72">
        <f>D60-C70</f>
        <v>-7500</v>
      </c>
      <c r="D71" s="84"/>
      <c r="E71" s="38" t="b">
        <f>IF(D60&gt;B70,C70*D70)</f>
        <v>0</v>
      </c>
      <c r="G71" s="38"/>
      <c r="H71" s="84" t="s">
        <v>56</v>
      </c>
      <c r="I71" s="72">
        <f>J59-I70</f>
        <v>-7500</v>
      </c>
      <c r="J71" s="84"/>
      <c r="K71" s="38" t="b">
        <f>IF(J59&gt;H62,I70*J70)</f>
        <v>0</v>
      </c>
      <c r="M71" s="38"/>
      <c r="N71" s="84">
        <v>7500</v>
      </c>
      <c r="O71" s="85">
        <f>O59-O70</f>
        <v>-7500</v>
      </c>
      <c r="P71" s="84"/>
      <c r="Q71" s="38" t="b">
        <f>IF(O59&gt;N71,O70*P70)</f>
        <v>0</v>
      </c>
      <c r="S71" s="64"/>
      <c r="T71" s="69"/>
      <c r="U71" s="69"/>
      <c r="V71" s="62">
        <v>200000</v>
      </c>
      <c r="W71" s="63">
        <v>654.66999999999996</v>
      </c>
      <c r="X71" s="1">
        <v>1390</v>
      </c>
      <c r="Y71" s="1">
        <v>1390</v>
      </c>
      <c r="Z71" s="1" t="s">
        <v>96</v>
      </c>
    </row>
    <row r="72" spans="1:33" ht="15" customHeight="1" x14ac:dyDescent="0.25">
      <c r="A72" s="38"/>
      <c r="B72" s="38"/>
      <c r="C72" s="72"/>
      <c r="D72" s="84"/>
      <c r="E72" s="38"/>
      <c r="G72" s="38"/>
      <c r="H72" s="38"/>
      <c r="I72" s="72"/>
      <c r="J72" s="84"/>
      <c r="K72" s="38"/>
      <c r="M72" s="38"/>
      <c r="N72" s="84" t="s">
        <v>56</v>
      </c>
      <c r="O72" s="72"/>
      <c r="P72" s="84"/>
      <c r="Q72" s="38"/>
      <c r="S72" s="64"/>
      <c r="T72" s="69"/>
      <c r="U72" s="69"/>
      <c r="V72" s="62">
        <v>250000</v>
      </c>
      <c r="W72" s="63">
        <v>697.66</v>
      </c>
      <c r="X72" s="1">
        <v>1410</v>
      </c>
      <c r="Y72" s="1">
        <v>1410</v>
      </c>
      <c r="Z72" s="1" t="s">
        <v>118</v>
      </c>
    </row>
    <row r="73" spans="1:33" ht="15" customHeight="1" x14ac:dyDescent="0.25">
      <c r="A73" s="84">
        <v>7500</v>
      </c>
      <c r="B73" s="84">
        <v>17500</v>
      </c>
      <c r="C73" s="38">
        <f>B73-A73</f>
        <v>10000</v>
      </c>
      <c r="D73" s="84">
        <v>2.8500000000000001E-2</v>
      </c>
      <c r="E73" s="38" t="b">
        <f>IF(AND(D60&gt;A73,D60&lt;=B73),C71*D73)</f>
        <v>0</v>
      </c>
      <c r="G73" s="84">
        <v>7500</v>
      </c>
      <c r="H73" s="38">
        <v>45495</v>
      </c>
      <c r="I73" s="38">
        <f>H65-G73</f>
        <v>10000</v>
      </c>
      <c r="J73" s="84">
        <v>1.3679999999999999E-2</v>
      </c>
      <c r="K73" s="38" t="b">
        <f>IF(AND(J59&gt;G73,J59&lt;=H65),I71*J73)</f>
        <v>0</v>
      </c>
      <c r="M73" s="84">
        <v>7500</v>
      </c>
      <c r="N73" s="38"/>
      <c r="O73" s="38">
        <f>N74-M73</f>
        <v>10000</v>
      </c>
      <c r="P73" s="84">
        <v>1.3679999999999999E-2</v>
      </c>
      <c r="Q73" s="38" t="b">
        <f>IF(AND(O59&gt;M73,O59&lt;=N74),O71*P73)</f>
        <v>0</v>
      </c>
      <c r="S73" s="64"/>
      <c r="T73" s="69"/>
      <c r="U73" s="69"/>
      <c r="V73" s="62">
        <v>500000</v>
      </c>
      <c r="W73" s="63">
        <v>952.92</v>
      </c>
      <c r="X73" s="1">
        <v>1435</v>
      </c>
      <c r="Y73" s="1">
        <v>1435</v>
      </c>
      <c r="Z73" s="1" t="s">
        <v>104</v>
      </c>
    </row>
    <row r="74" spans="1:33" ht="15" customHeight="1" x14ac:dyDescent="0.2">
      <c r="A74" s="38"/>
      <c r="B74" s="84" t="s">
        <v>56</v>
      </c>
      <c r="C74" s="72">
        <f>C71-C73</f>
        <v>-17500</v>
      </c>
      <c r="D74" s="84"/>
      <c r="E74" s="38" t="b">
        <f>IF(D60&gt;B73,C73*D73)</f>
        <v>0</v>
      </c>
      <c r="G74" s="38"/>
      <c r="H74" s="84" t="s">
        <v>56</v>
      </c>
      <c r="I74" s="72">
        <f>I71-I73</f>
        <v>-17500</v>
      </c>
      <c r="J74" s="84"/>
      <c r="K74" s="38" t="b">
        <f>IF(J59&gt;H65,I73*J73)</f>
        <v>0</v>
      </c>
      <c r="M74" s="38"/>
      <c r="N74" s="84">
        <v>17500</v>
      </c>
      <c r="O74" s="72">
        <f>O71-O73</f>
        <v>-17500</v>
      </c>
      <c r="P74" s="84"/>
      <c r="Q74" s="38" t="b">
        <f>IF(O59&gt;N74,O73*P73)</f>
        <v>0</v>
      </c>
      <c r="X74" s="1">
        <v>1440</v>
      </c>
      <c r="Y74" s="1">
        <v>1440</v>
      </c>
      <c r="Z74" s="1" t="s">
        <v>87</v>
      </c>
    </row>
    <row r="75" spans="1:33" ht="15" customHeight="1" x14ac:dyDescent="0.2">
      <c r="A75" s="38"/>
      <c r="B75" s="38"/>
      <c r="C75" s="72"/>
      <c r="D75" s="84"/>
      <c r="E75" s="38"/>
      <c r="G75" s="38"/>
      <c r="H75" s="38"/>
      <c r="I75" s="72"/>
      <c r="J75" s="84"/>
      <c r="K75" s="38"/>
      <c r="M75" s="38"/>
      <c r="N75" s="84" t="s">
        <v>56</v>
      </c>
      <c r="O75" s="72"/>
      <c r="P75" s="84"/>
      <c r="Q75" s="38"/>
      <c r="X75" s="1">
        <v>1450</v>
      </c>
      <c r="Y75" s="1">
        <v>1450</v>
      </c>
      <c r="Z75" s="1" t="s">
        <v>88</v>
      </c>
    </row>
    <row r="76" spans="1:33" ht="15" customHeight="1" x14ac:dyDescent="0.2">
      <c r="A76" s="84">
        <v>17500</v>
      </c>
      <c r="B76" s="84">
        <v>30000</v>
      </c>
      <c r="C76" s="38">
        <f>B76-A76</f>
        <v>12500</v>
      </c>
      <c r="D76" s="84">
        <v>2.2800000000000001E-2</v>
      </c>
      <c r="E76" s="38" t="b">
        <f>IF(AND(D60&gt;A76,D60&lt;=B76),C74*D76)</f>
        <v>0</v>
      </c>
      <c r="G76" s="84">
        <v>17500</v>
      </c>
      <c r="H76" s="38">
        <v>64095</v>
      </c>
      <c r="I76" s="38">
        <f>H70-G76</f>
        <v>12500</v>
      </c>
      <c r="J76" s="84">
        <v>9.1199999999999996E-3</v>
      </c>
      <c r="K76" s="38" t="b">
        <f>IF(AND(J59&gt;G76,J59&lt;=H70),I74*J76)</f>
        <v>0</v>
      </c>
      <c r="M76" s="84">
        <v>17500</v>
      </c>
      <c r="N76" s="38"/>
      <c r="O76" s="38">
        <f>N77-M76</f>
        <v>12500</v>
      </c>
      <c r="P76" s="84">
        <v>9.1199999999999996E-3</v>
      </c>
      <c r="Q76" s="38" t="b">
        <f>IF(AND(O59&gt;M76,O59&lt;=N77),O74*P76)</f>
        <v>0</v>
      </c>
      <c r="X76" s="1">
        <v>1457</v>
      </c>
      <c r="Y76" s="1">
        <v>1457</v>
      </c>
      <c r="Z76" s="1" t="s">
        <v>117</v>
      </c>
    </row>
    <row r="77" spans="1:33" ht="15" customHeight="1" x14ac:dyDescent="0.2">
      <c r="A77" s="38"/>
      <c r="B77" s="84" t="s">
        <v>56</v>
      </c>
      <c r="C77" s="72">
        <f>C74-C76</f>
        <v>-30000</v>
      </c>
      <c r="D77" s="84"/>
      <c r="E77" s="38" t="b">
        <f>IF(D60&gt;B76,C76*D76)</f>
        <v>0</v>
      </c>
      <c r="G77" s="38"/>
      <c r="H77" s="84" t="s">
        <v>56</v>
      </c>
      <c r="I77" s="72">
        <f>I74-I76</f>
        <v>-30000</v>
      </c>
      <c r="J77" s="84"/>
      <c r="K77" s="38" t="b">
        <f>IF(J59&gt;H70,I76*J76)</f>
        <v>0</v>
      </c>
      <c r="M77" s="38"/>
      <c r="N77" s="84">
        <v>30000</v>
      </c>
      <c r="O77" s="72">
        <f>O74-O76</f>
        <v>-30000</v>
      </c>
      <c r="P77" s="84"/>
      <c r="Q77" s="38" t="b">
        <f>IF(O59&gt;N77,O76*P76)</f>
        <v>0</v>
      </c>
      <c r="X77" s="1">
        <v>1460</v>
      </c>
      <c r="Y77" s="1">
        <v>1460</v>
      </c>
      <c r="Z77" s="1" t="s">
        <v>99</v>
      </c>
    </row>
    <row r="78" spans="1:33" ht="15" customHeight="1" x14ac:dyDescent="0.2">
      <c r="A78" s="38"/>
      <c r="B78" s="38"/>
      <c r="C78" s="72"/>
      <c r="D78" s="84"/>
      <c r="E78" s="38"/>
      <c r="G78" s="38"/>
      <c r="H78" s="38"/>
      <c r="I78" s="72"/>
      <c r="J78" s="84"/>
      <c r="K78" s="38"/>
      <c r="M78" s="38"/>
      <c r="N78" s="84" t="s">
        <v>56</v>
      </c>
      <c r="O78" s="72"/>
      <c r="P78" s="84"/>
      <c r="Q78" s="38"/>
      <c r="X78" s="1">
        <v>1470</v>
      </c>
      <c r="Y78" s="1">
        <v>1470</v>
      </c>
      <c r="Z78" s="1" t="s">
        <v>95</v>
      </c>
    </row>
    <row r="79" spans="1:33" ht="15" customHeight="1" x14ac:dyDescent="0.2">
      <c r="A79" s="38">
        <v>30000</v>
      </c>
      <c r="B79" s="38">
        <v>45495</v>
      </c>
      <c r="C79" s="38">
        <f>B79-A79</f>
        <v>15495</v>
      </c>
      <c r="D79" s="84">
        <v>1.7100000000000001E-2</v>
      </c>
      <c r="E79" s="38" t="b">
        <f>IF(AND(D60&gt;A79,D60&lt;=B79),C77*D79)</f>
        <v>0</v>
      </c>
      <c r="G79" s="38">
        <v>30000</v>
      </c>
      <c r="H79" s="38">
        <v>250095</v>
      </c>
      <c r="I79" s="38">
        <f>H73-G79</f>
        <v>15495</v>
      </c>
      <c r="J79" s="84">
        <v>6.8399999999999997E-3</v>
      </c>
      <c r="K79" s="38" t="b">
        <f>IF(AND(J59&gt;G79,J59&lt;=H73),I77*J79)</f>
        <v>0</v>
      </c>
      <c r="M79" s="38">
        <v>30000</v>
      </c>
      <c r="N79" s="38"/>
      <c r="O79" s="38">
        <f>N80-M79</f>
        <v>15495</v>
      </c>
      <c r="P79" s="84">
        <v>6.8399999999999997E-3</v>
      </c>
      <c r="Q79" s="38" t="b">
        <f>IF(AND(O59&gt;M79,O59&lt;=N80),O77*P79)</f>
        <v>0</v>
      </c>
      <c r="X79" s="1">
        <v>1480</v>
      </c>
      <c r="Y79" s="1">
        <v>1480</v>
      </c>
      <c r="Z79" s="1" t="s">
        <v>86</v>
      </c>
    </row>
    <row r="80" spans="1:33" ht="15" customHeight="1" x14ac:dyDescent="0.2">
      <c r="A80" s="38"/>
      <c r="B80" s="84" t="s">
        <v>56</v>
      </c>
      <c r="C80" s="72">
        <f>C77-C79</f>
        <v>-45495</v>
      </c>
      <c r="D80" s="84"/>
      <c r="E80" s="86" t="b">
        <f>IF(D60&gt;B79,C79*D79)</f>
        <v>0</v>
      </c>
      <c r="G80" s="38"/>
      <c r="H80" s="84" t="s">
        <v>56</v>
      </c>
      <c r="I80" s="72">
        <f>I77-I79</f>
        <v>-45495</v>
      </c>
      <c r="J80" s="84"/>
      <c r="K80" s="86" t="b">
        <f>IF(J59&gt;H73,I79*J79)</f>
        <v>0</v>
      </c>
      <c r="M80" s="38"/>
      <c r="N80" s="38">
        <v>45495</v>
      </c>
      <c r="O80" s="72">
        <f>O77-O79</f>
        <v>-45495</v>
      </c>
      <c r="P80" s="84"/>
      <c r="Q80" s="86" t="b">
        <f>IF(O59&gt;N80,O79*P79)</f>
        <v>0</v>
      </c>
      <c r="X80" s="1">
        <v>1490</v>
      </c>
      <c r="Y80" s="1">
        <v>1490</v>
      </c>
      <c r="Z80" s="1" t="s">
        <v>90</v>
      </c>
    </row>
    <row r="81" spans="1:26" ht="15" customHeight="1" x14ac:dyDescent="0.2">
      <c r="A81" s="38"/>
      <c r="B81" s="38"/>
      <c r="C81" s="72"/>
      <c r="D81" s="84"/>
      <c r="E81" s="38"/>
      <c r="G81" s="38"/>
      <c r="H81" s="38"/>
      <c r="I81" s="72"/>
      <c r="J81" s="84"/>
      <c r="K81" s="38"/>
      <c r="M81" s="38"/>
      <c r="N81" s="84" t="s">
        <v>56</v>
      </c>
      <c r="O81" s="72"/>
      <c r="P81" s="84"/>
      <c r="Q81" s="38"/>
      <c r="X81" s="1">
        <v>1495</v>
      </c>
      <c r="Y81" s="1">
        <v>1495</v>
      </c>
      <c r="Z81" s="1" t="s">
        <v>116</v>
      </c>
    </row>
    <row r="82" spans="1:26" ht="15" customHeight="1" x14ac:dyDescent="0.2">
      <c r="A82" s="38">
        <v>45495</v>
      </c>
      <c r="B82" s="38">
        <v>64095</v>
      </c>
      <c r="C82" s="38">
        <f>B82-A82</f>
        <v>18600</v>
      </c>
      <c r="D82" s="84">
        <v>1.14E-2</v>
      </c>
      <c r="E82" s="38" t="b">
        <f>IF(AND(D60&gt;A82,D60&lt;=B82),C80*D82)</f>
        <v>0</v>
      </c>
      <c r="G82" s="38">
        <v>45495</v>
      </c>
      <c r="H82" s="38" t="s">
        <v>24</v>
      </c>
      <c r="I82" s="38">
        <f>H76-G82</f>
        <v>18600</v>
      </c>
      <c r="J82" s="84">
        <v>4.5599999999999998E-3</v>
      </c>
      <c r="K82" s="38" t="b">
        <f>IF(AND(J59&gt;G82,J59&lt;=H76),I80*J82)</f>
        <v>0</v>
      </c>
      <c r="M82" s="38">
        <v>45495</v>
      </c>
      <c r="N82" s="38"/>
      <c r="O82" s="38">
        <f>N83-M82</f>
        <v>18600</v>
      </c>
      <c r="P82" s="84">
        <v>4.5599999999999998E-3</v>
      </c>
      <c r="Q82" s="38" t="b">
        <f>IF(AND(O59&gt;M82,O59&lt;=N83),O80*P82)</f>
        <v>0</v>
      </c>
      <c r="X82" s="1">
        <v>1600</v>
      </c>
      <c r="Y82" s="1">
        <v>1600</v>
      </c>
      <c r="Z82" s="1" t="s">
        <v>106</v>
      </c>
    </row>
    <row r="83" spans="1:26" ht="15" customHeight="1" x14ac:dyDescent="0.2">
      <c r="A83" s="38"/>
      <c r="B83" s="84" t="s">
        <v>56</v>
      </c>
      <c r="C83" s="72">
        <f>C80-C82</f>
        <v>-64095</v>
      </c>
      <c r="D83" s="84"/>
      <c r="E83" s="38" t="b">
        <f>IF(D60&gt;B82,C82*D82)</f>
        <v>0</v>
      </c>
      <c r="G83" s="38"/>
      <c r="H83" s="84" t="s">
        <v>56</v>
      </c>
      <c r="I83" s="72">
        <f>I80-I82</f>
        <v>-64095</v>
      </c>
      <c r="J83" s="84"/>
      <c r="K83" s="38" t="b">
        <f>IF(J59&gt;H76,I82*J82)</f>
        <v>0</v>
      </c>
      <c r="M83" s="38"/>
      <c r="N83" s="38">
        <v>64095</v>
      </c>
      <c r="O83" s="72">
        <f>O80-O82</f>
        <v>-64095</v>
      </c>
      <c r="P83" s="84"/>
      <c r="Q83" s="38" t="b">
        <f>IF(O59&gt;N83,O82*P82)</f>
        <v>0</v>
      </c>
      <c r="X83" s="1">
        <v>4357</v>
      </c>
      <c r="Y83" s="1">
        <v>4357</v>
      </c>
      <c r="Z83" s="1" t="s">
        <v>91</v>
      </c>
    </row>
    <row r="84" spans="1:26" ht="15" customHeight="1" x14ac:dyDescent="0.2">
      <c r="A84" s="38"/>
      <c r="B84" s="38"/>
      <c r="C84" s="72"/>
      <c r="D84" s="84"/>
      <c r="E84" s="38"/>
      <c r="G84" s="38"/>
      <c r="I84" s="72"/>
      <c r="J84" s="84"/>
      <c r="K84" s="38"/>
      <c r="M84" s="38"/>
      <c r="N84" s="84" t="s">
        <v>56</v>
      </c>
      <c r="O84" s="72"/>
      <c r="P84" s="84"/>
      <c r="Q84" s="38"/>
      <c r="X84" s="1">
        <v>4845</v>
      </c>
      <c r="Y84" s="1">
        <v>4845</v>
      </c>
      <c r="Z84" s="1" t="s">
        <v>100</v>
      </c>
    </row>
    <row r="85" spans="1:26" ht="15" customHeight="1" x14ac:dyDescent="0.2">
      <c r="A85" s="38">
        <v>64095</v>
      </c>
      <c r="B85" s="38">
        <v>250095</v>
      </c>
      <c r="C85" s="38">
        <f>B85-A85</f>
        <v>186000</v>
      </c>
      <c r="D85" s="84">
        <v>5.7000000000000002E-3</v>
      </c>
      <c r="E85" s="86" t="b">
        <f>IF(AND(D60&gt;A85,D60&lt;=B85),C83*D85)</f>
        <v>0</v>
      </c>
      <c r="G85" s="38">
        <v>64095</v>
      </c>
      <c r="I85" s="38">
        <f>H79-G85</f>
        <v>186000</v>
      </c>
      <c r="J85" s="84">
        <v>2.2799999999999999E-3</v>
      </c>
      <c r="K85" s="86" t="b">
        <f>IF(AND(J59&gt;G85,J59&lt;=H79),I83*J85)</f>
        <v>0</v>
      </c>
      <c r="M85" s="38">
        <v>64095</v>
      </c>
      <c r="N85" s="38"/>
      <c r="O85" s="38">
        <f>N86-M85</f>
        <v>186000</v>
      </c>
      <c r="P85" s="84">
        <v>2.2799999999999999E-3</v>
      </c>
      <c r="Q85" s="86" t="b">
        <f>IF(AND(O59&gt;M85,O59&lt;=N86),O83*P85)</f>
        <v>0</v>
      </c>
      <c r="X85" s="1">
        <v>4880</v>
      </c>
      <c r="Y85" s="1">
        <v>4880</v>
      </c>
      <c r="Z85" s="1" t="s">
        <v>84</v>
      </c>
    </row>
    <row r="86" spans="1:26" ht="15" customHeight="1" x14ac:dyDescent="0.2">
      <c r="A86" s="38"/>
      <c r="B86" s="84" t="s">
        <v>56</v>
      </c>
      <c r="C86" s="72">
        <f>C83-C85</f>
        <v>-250095</v>
      </c>
      <c r="D86" s="84"/>
      <c r="E86" s="38" t="b">
        <f>IF(D60&gt;B85,C85*D85)</f>
        <v>0</v>
      </c>
      <c r="G86" s="38"/>
      <c r="I86" s="72">
        <f>I83-I85</f>
        <v>-250095</v>
      </c>
      <c r="J86" s="84"/>
      <c r="K86" s="38" t="b">
        <f>IF(J59&gt;H79,I85*J85)</f>
        <v>0</v>
      </c>
      <c r="M86" s="38"/>
      <c r="N86" s="38">
        <v>250095</v>
      </c>
      <c r="O86" s="72">
        <f>O83-O85</f>
        <v>-250095</v>
      </c>
      <c r="P86" s="84"/>
      <c r="Q86" s="38" t="b">
        <f>IF(O59&gt;N86,O85*P85)</f>
        <v>0</v>
      </c>
      <c r="X86" s="1">
        <v>4890</v>
      </c>
      <c r="Y86" s="1">
        <v>4890</v>
      </c>
      <c r="Z86" s="1" t="s">
        <v>115</v>
      </c>
    </row>
    <row r="87" spans="1:26" ht="15" customHeight="1" x14ac:dyDescent="0.2">
      <c r="A87" s="38"/>
      <c r="B87" s="38"/>
      <c r="C87" s="72"/>
      <c r="D87" s="84"/>
      <c r="E87" s="38"/>
      <c r="G87" s="38"/>
      <c r="J87" s="84"/>
      <c r="K87" s="38"/>
      <c r="M87" s="38"/>
      <c r="N87" s="84" t="s">
        <v>56</v>
      </c>
      <c r="O87" s="72"/>
      <c r="P87" s="84"/>
      <c r="Q87" s="38"/>
      <c r="X87" s="1">
        <v>5000</v>
      </c>
      <c r="Y87" s="1">
        <v>5000</v>
      </c>
      <c r="Z87" s="1" t="s">
        <v>105</v>
      </c>
    </row>
    <row r="88" spans="1:26" ht="15" customHeight="1" x14ac:dyDescent="0.2">
      <c r="A88" s="38">
        <v>250095</v>
      </c>
      <c r="B88" s="38" t="s">
        <v>24</v>
      </c>
      <c r="C88" s="38"/>
      <c r="D88" s="84">
        <v>5.6999999999999998E-4</v>
      </c>
      <c r="E88" s="38" t="b">
        <f>IF(AND(D60&gt;A88),C86*D88)</f>
        <v>0</v>
      </c>
      <c r="G88" s="38">
        <v>250095</v>
      </c>
      <c r="J88" s="84">
        <v>4.5600000000000003E-4</v>
      </c>
      <c r="K88" s="38" t="b">
        <f>IF(AND(J59&gt;G88),I86*J88)</f>
        <v>0</v>
      </c>
      <c r="M88" s="38">
        <v>250095</v>
      </c>
      <c r="N88" s="38"/>
      <c r="O88" s="38"/>
      <c r="P88" s="84">
        <v>4.5600000000000003E-4</v>
      </c>
      <c r="Q88" s="38" t="b">
        <f>IF(AND(O59&gt;M88),O86*P88)</f>
        <v>0</v>
      </c>
      <c r="X88" s="1">
        <v>5030</v>
      </c>
      <c r="Y88" s="1">
        <v>5030</v>
      </c>
      <c r="Z88" s="1" t="s">
        <v>94</v>
      </c>
    </row>
    <row r="89" spans="1:26" ht="15" customHeight="1" x14ac:dyDescent="0.2">
      <c r="A89" s="38"/>
      <c r="B89" s="84" t="s">
        <v>56</v>
      </c>
      <c r="C89" s="38"/>
      <c r="D89" s="84"/>
      <c r="E89" s="38"/>
      <c r="G89" s="38"/>
      <c r="J89" s="84"/>
      <c r="K89" s="38"/>
      <c r="M89" s="38"/>
      <c r="N89" s="38" t="s">
        <v>24</v>
      </c>
      <c r="O89" s="38"/>
      <c r="P89" s="84"/>
      <c r="Q89" s="38"/>
      <c r="X89" s="1">
        <v>5170</v>
      </c>
      <c r="Y89" s="1">
        <v>5170</v>
      </c>
      <c r="Z89" s="1" t="s">
        <v>110</v>
      </c>
    </row>
    <row r="90" spans="1:26" ht="15" customHeight="1" x14ac:dyDescent="0.2">
      <c r="A90" s="72" t="s">
        <v>44</v>
      </c>
      <c r="B90" s="72"/>
      <c r="C90" s="72"/>
      <c r="D90" s="72"/>
      <c r="E90" s="134">
        <f>SUM(E70:E89)</f>
        <v>0</v>
      </c>
      <c r="G90" s="72" t="s">
        <v>44</v>
      </c>
      <c r="J90" s="72"/>
      <c r="K90" s="134">
        <f>SUM(K70:K89)</f>
        <v>0</v>
      </c>
      <c r="M90" s="72" t="s">
        <v>44</v>
      </c>
      <c r="N90" s="84" t="s">
        <v>56</v>
      </c>
      <c r="O90" s="72"/>
      <c r="P90" s="72"/>
      <c r="Q90" s="134">
        <f>SUM(Q70:Q89)</f>
        <v>0</v>
      </c>
      <c r="X90" s="1">
        <v>5310</v>
      </c>
      <c r="Y90" s="1">
        <v>5310</v>
      </c>
      <c r="Z90" s="1" t="s">
        <v>92</v>
      </c>
    </row>
    <row r="91" spans="1:26" ht="15" customHeight="1" x14ac:dyDescent="0.2">
      <c r="N91" s="72"/>
      <c r="X91" s="1">
        <v>5330</v>
      </c>
      <c r="Y91" s="1">
        <v>5330</v>
      </c>
      <c r="Z91" s="1" t="s">
        <v>83</v>
      </c>
    </row>
    <row r="92" spans="1:26" ht="15" customHeight="1" x14ac:dyDescent="0.2">
      <c r="X92" s="1">
        <v>6680</v>
      </c>
      <c r="Y92" s="1">
        <v>6680</v>
      </c>
      <c r="Z92" s="1" t="s">
        <v>113</v>
      </c>
    </row>
    <row r="93" spans="1:26" ht="15" customHeight="1" x14ac:dyDescent="0.2">
      <c r="X93" s="1">
        <v>6700</v>
      </c>
      <c r="Y93" s="1">
        <v>6700</v>
      </c>
      <c r="Z93" s="1" t="s">
        <v>82</v>
      </c>
    </row>
    <row r="94" spans="1:26" ht="15" customHeight="1" x14ac:dyDescent="0.2">
      <c r="X94" s="1">
        <v>6997</v>
      </c>
      <c r="Y94" s="1">
        <v>6997</v>
      </c>
      <c r="Z94" s="1" t="s">
        <v>93</v>
      </c>
    </row>
    <row r="95" spans="1:26" ht="15" customHeight="1" x14ac:dyDescent="0.2">
      <c r="X95" s="1">
        <v>7830</v>
      </c>
      <c r="Y95" s="1">
        <v>7830</v>
      </c>
      <c r="Z95" s="1" t="s">
        <v>114</v>
      </c>
    </row>
  </sheetData>
  <mergeCells count="28">
    <mergeCell ref="B4:D4"/>
    <mergeCell ref="B5:D5"/>
    <mergeCell ref="B2:F2"/>
    <mergeCell ref="B27:D27"/>
    <mergeCell ref="B10:D10"/>
    <mergeCell ref="B6:D6"/>
    <mergeCell ref="B18:D18"/>
    <mergeCell ref="B13:D13"/>
    <mergeCell ref="B17:D17"/>
    <mergeCell ref="B26:D26"/>
    <mergeCell ref="B23:D23"/>
    <mergeCell ref="B22:D22"/>
    <mergeCell ref="B21:D21"/>
    <mergeCell ref="B20:D20"/>
    <mergeCell ref="B19:D19"/>
    <mergeCell ref="X57:Z57"/>
    <mergeCell ref="B7:D7"/>
    <mergeCell ref="B9:D9"/>
    <mergeCell ref="B8:D8"/>
    <mergeCell ref="A69:B69"/>
    <mergeCell ref="A68:E68"/>
    <mergeCell ref="B16:D16"/>
    <mergeCell ref="B12:D12"/>
    <mergeCell ref="B11:D11"/>
    <mergeCell ref="A57:C57"/>
    <mergeCell ref="V57:W57"/>
    <mergeCell ref="B31:C31"/>
    <mergeCell ref="B29:D29"/>
  </mergeCells>
  <phoneticPr fontId="5" type="noConversion"/>
  <conditionalFormatting sqref="I6:K34">
    <cfRule type="expression" dxfId="6" priority="32" stopIfTrue="1">
      <formula>AnneeCourante&gt;clDuree</formula>
    </cfRule>
  </conditionalFormatting>
  <conditionalFormatting sqref="L5:L34">
    <cfRule type="expression" dxfId="5" priority="33" stopIfTrue="1">
      <formula>AnneeCourante&gt;clDuree</formula>
    </cfRule>
    <cfRule type="expression" dxfId="4" priority="34" stopIfTrue="1">
      <formula>AnneeCourante=clDuree</formula>
    </cfRule>
  </conditionalFormatting>
  <conditionalFormatting sqref="D37:E37">
    <cfRule type="expression" dxfId="3" priority="22" stopIfTrue="1">
      <formula>$D$38=0</formula>
    </cfRule>
  </conditionalFormatting>
  <conditionalFormatting sqref="F38">
    <cfRule type="expression" dxfId="2" priority="37" stopIfTrue="1">
      <formula>$F$26=1000</formula>
    </cfRule>
  </conditionalFormatting>
  <conditionalFormatting sqref="F34">
    <cfRule type="expression" dxfId="1" priority="41" stopIfTrue="1">
      <formula>$F$23=0</formula>
    </cfRule>
  </conditionalFormatting>
  <conditionalFormatting sqref="C33">
    <cfRule type="expression" dxfId="0" priority="1" stopIfTrue="1">
      <formula>$C$33=2904</formula>
    </cfRule>
  </conditionalFormatting>
  <dataValidations count="3">
    <dataValidation type="list" allowBlank="1" showInputMessage="1" showErrorMessage="1" sqref="F10">
      <formula1>$U$58:$U$62</formula1>
    </dataValidation>
    <dataValidation type="list" allowBlank="1" showInputMessage="1" showErrorMessage="1" sqref="F5">
      <formula1>$S$58:$S$61</formula1>
    </dataValidation>
    <dataValidation type="list" allowBlank="1" showInputMessage="1" showErrorMessage="1" sqref="F6">
      <formula1>$T$58:$T$62</formula1>
    </dataValidation>
  </dataValidations>
  <pageMargins left="0" right="0" top="0" bottom="0" header="0.31496062992125984" footer="0.31496062992125984"/>
  <pageSetup paperSize="9" orientation="landscape" horizontalDpi="4294967292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Notes</vt:lpstr>
      <vt:lpstr>Emprunt</vt:lpstr>
      <vt:lpstr>Graph1</vt:lpstr>
      <vt:lpstr>AnneeCourante</vt:lpstr>
      <vt:lpstr>AnneePrecedente</vt:lpstr>
      <vt:lpstr>CapitalPrecedent</vt:lpstr>
      <vt:lpstr>clAnnuite</vt:lpstr>
      <vt:lpstr>clCapital</vt:lpstr>
      <vt:lpstr>clDuree</vt:lpstr>
      <vt:lpstr>clTauxAnnuel</vt:lpstr>
      <vt:lpstr>PartCapital</vt:lpstr>
      <vt:lpstr>PartInteret</vt:lpstr>
      <vt:lpstr>Tableau</vt:lpstr>
    </vt:vector>
  </TitlesOfParts>
  <Company>ICI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Hp</cp:lastModifiedBy>
  <cp:lastPrinted>2014-05-07T16:21:08Z</cp:lastPrinted>
  <dcterms:created xsi:type="dcterms:W3CDTF">2002-10-02T16:34:28Z</dcterms:created>
  <dcterms:modified xsi:type="dcterms:W3CDTF">2014-05-07T18:17:05Z</dcterms:modified>
</cp:coreProperties>
</file>