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1005" windowWidth="15480" windowHeight="10515" tabRatio="529"/>
  </bookViews>
  <sheets>
    <sheet name="Données" sheetId="38" r:id="rId1"/>
    <sheet name="Simulation CF" sheetId="44" r:id="rId2"/>
  </sheets>
  <externalReferences>
    <externalReference r:id="rId3"/>
  </externalReferences>
  <definedNames>
    <definedName name="BedragF">#REF!</definedName>
    <definedName name="EuroConv">[1]Parameterblad!$C$1</definedName>
    <definedName name="FullFormules">[1]Formules!$A$26:$V$39</definedName>
    <definedName name="Geldigheid">[1]Parameterblad!$B$4</definedName>
    <definedName name="KredietTypes">[1]Parameterblad!$A$25:$B$26</definedName>
    <definedName name="looptijdF">#REF!</definedName>
    <definedName name="maandenF">#REF!</definedName>
    <definedName name="mensF">#REF!</definedName>
    <definedName name="nettorvtF">#REF!</definedName>
    <definedName name="UitstelF">#REF!</definedName>
    <definedName name="_xlnm.Print_Area" localSheetId="0">Données!$A$1:$AA$81</definedName>
  </definedNames>
  <calcPr calcId="144525"/>
</workbook>
</file>

<file path=xl/calcChain.xml><?xml version="1.0" encoding="utf-8"?>
<calcChain xmlns="http://schemas.openxmlformats.org/spreadsheetml/2006/main">
  <c r="R11" i="38" l="1"/>
  <c r="H35" i="44" l="1"/>
  <c r="N35" i="44" l="1"/>
  <c r="J37" i="44"/>
  <c r="J30" i="44"/>
  <c r="J31" i="44" s="1"/>
  <c r="N28" i="44"/>
  <c r="D12" i="44"/>
  <c r="D11" i="44"/>
  <c r="L10" i="44"/>
  <c r="H10" i="44"/>
  <c r="D10" i="44"/>
  <c r="L9" i="44"/>
  <c r="H9" i="44"/>
  <c r="D9" i="44"/>
  <c r="H8" i="44"/>
  <c r="D8" i="44"/>
  <c r="H7" i="44"/>
  <c r="D7" i="44"/>
  <c r="L30" i="38" l="1"/>
  <c r="L31" i="38" l="1"/>
  <c r="J39" i="38" l="1"/>
  <c r="L33" i="38" l="1"/>
  <c r="L32" i="38" l="1"/>
  <c r="L29" i="38"/>
  <c r="L28" i="38"/>
  <c r="L39" i="38" l="1"/>
  <c r="L40" i="38"/>
  <c r="L41" i="38"/>
  <c r="L42" i="38"/>
  <c r="L43" i="38"/>
  <c r="J31" i="38"/>
  <c r="J34" i="38"/>
  <c r="J33" i="38"/>
  <c r="L38" i="38" l="1"/>
  <c r="L37" i="38"/>
  <c r="J43" i="38"/>
  <c r="J42" i="38"/>
  <c r="J41" i="38"/>
  <c r="J40" i="38"/>
  <c r="J38" i="38"/>
  <c r="J37" i="38"/>
  <c r="J32" i="38"/>
  <c r="J30" i="38"/>
  <c r="J29" i="38"/>
  <c r="J28" i="38"/>
  <c r="J35" i="38" l="1"/>
  <c r="J36" i="38"/>
  <c r="N23" i="38"/>
  <c r="J23" i="38"/>
  <c r="D23" i="38"/>
  <c r="H44" i="38" l="1"/>
  <c r="F44" i="38"/>
  <c r="N17" i="44" l="1"/>
  <c r="Z10" i="38"/>
  <c r="Z9" i="38"/>
  <c r="Z11" i="38" l="1"/>
  <c r="X85" i="38" l="1"/>
  <c r="X84" i="38"/>
  <c r="X83" i="38"/>
  <c r="X82" i="38"/>
  <c r="X81" i="38"/>
  <c r="X80" i="38"/>
  <c r="Y80" i="38" s="1"/>
  <c r="Y81" i="38" l="1"/>
  <c r="Y82" i="38" s="1"/>
  <c r="Y83" i="38" s="1"/>
  <c r="Y84" i="38" s="1"/>
  <c r="Y85" i="38" s="1"/>
  <c r="X22" i="38" l="1"/>
  <c r="V21" i="38"/>
  <c r="V20" i="38"/>
  <c r="V19" i="38"/>
  <c r="V18" i="38"/>
  <c r="V17" i="38"/>
  <c r="V16" i="38"/>
  <c r="V15" i="38"/>
  <c r="X21" i="38" l="1"/>
  <c r="X18" i="38"/>
  <c r="X16" i="38"/>
  <c r="X15" i="38"/>
  <c r="L44" i="38" l="1"/>
  <c r="J44" i="38"/>
  <c r="N18" i="44" s="1"/>
  <c r="X19" i="38"/>
  <c r="L46" i="38" l="1"/>
  <c r="J46" i="38"/>
  <c r="N19" i="44" s="1"/>
  <c r="N20" i="44" s="1"/>
  <c r="R8" i="38"/>
  <c r="X20" i="38" l="1"/>
  <c r="X17" i="38"/>
  <c r="R9" i="38"/>
  <c r="J51" i="38" l="1"/>
  <c r="H51" i="38"/>
  <c r="N51" i="38"/>
  <c r="L51" i="38"/>
  <c r="F51" i="38"/>
  <c r="X23" i="38"/>
  <c r="T39" i="38" l="1"/>
  <c r="D17" i="44"/>
  <c r="D23" i="44"/>
  <c r="X39" i="38"/>
  <c r="V39" i="38"/>
  <c r="AB39" i="38"/>
  <c r="Z39" i="38"/>
  <c r="Z51" i="38"/>
  <c r="T51" i="38"/>
  <c r="X51" i="38"/>
  <c r="V51" i="38"/>
  <c r="AB51" i="38"/>
  <c r="T41" i="38"/>
  <c r="V31" i="38"/>
  <c r="X31" i="38"/>
  <c r="T30" i="38"/>
  <c r="X34" i="38"/>
  <c r="AB31" i="38"/>
  <c r="Z31" i="38"/>
  <c r="T31" i="38"/>
  <c r="AB34" i="38"/>
  <c r="V34" i="38"/>
  <c r="T34" i="38"/>
  <c r="Z34" i="38"/>
  <c r="X30" i="38"/>
  <c r="V30" i="38"/>
  <c r="Z30" i="38"/>
  <c r="AB30" i="38"/>
  <c r="AB32" i="38"/>
  <c r="Z32" i="38"/>
  <c r="T32" i="38"/>
  <c r="AB41" i="38" l="1"/>
  <c r="Z41" i="38"/>
  <c r="V41" i="38"/>
  <c r="X41" i="38"/>
  <c r="Z78" i="38"/>
  <c r="Z79" i="38"/>
  <c r="Z81" i="38"/>
  <c r="Z77" i="38"/>
  <c r="Z80" i="38"/>
  <c r="Z82" i="38" l="1"/>
  <c r="X45" i="38"/>
  <c r="AB45" i="38"/>
  <c r="T45" i="38"/>
  <c r="V45" i="38"/>
  <c r="Z45" i="38"/>
  <c r="Y86" i="38"/>
  <c r="Z83" i="38" s="1"/>
  <c r="X65" i="38"/>
  <c r="Y78" i="38"/>
  <c r="Z75" i="38" s="1"/>
  <c r="X32" i="38"/>
  <c r="V32" i="38"/>
  <c r="X76" i="38"/>
  <c r="X77" i="38"/>
  <c r="X66" i="38"/>
  <c r="Y70" i="38"/>
  <c r="Z67" i="38" s="1"/>
  <c r="X74" i="38"/>
  <c r="X75" i="38"/>
  <c r="X69" i="38"/>
  <c r="X68" i="38"/>
  <c r="X72" i="38"/>
  <c r="Y72" i="38" s="1"/>
  <c r="X64" i="38"/>
  <c r="Y64" i="38" s="1"/>
  <c r="Z61" i="38" s="1"/>
  <c r="X67" i="38"/>
  <c r="X73" i="38"/>
  <c r="Y65" i="38" l="1"/>
  <c r="Z62" i="38" s="1"/>
  <c r="Z69" i="38"/>
  <c r="Y73" i="38"/>
  <c r="Y66" i="38" l="1"/>
  <c r="Z63" i="38" s="1"/>
  <c r="Y74" i="38"/>
  <c r="Z70" i="38"/>
  <c r="Y67" i="38" l="1"/>
  <c r="Z64" i="38" s="1"/>
  <c r="Z71" i="38"/>
  <c r="Y75" i="38"/>
  <c r="Y68" i="38" l="1"/>
  <c r="Y69" i="38" s="1"/>
  <c r="Z66" i="38" s="1"/>
  <c r="Y76" i="38"/>
  <c r="Z72" i="38"/>
  <c r="Z65" i="38" l="1"/>
  <c r="T33" i="38" s="1"/>
  <c r="Z73" i="38"/>
  <c r="Y77" i="38"/>
  <c r="Z74" i="38" s="1"/>
  <c r="T35" i="38" l="1"/>
  <c r="AB33" i="38"/>
  <c r="AB35" i="38" s="1"/>
  <c r="X33" i="38"/>
  <c r="X35" i="38" s="1"/>
  <c r="V33" i="38"/>
  <c r="V35" i="38" s="1"/>
  <c r="Z33" i="38"/>
  <c r="Z35" i="38" s="1"/>
  <c r="T40" i="38"/>
  <c r="D18" i="44" l="1"/>
  <c r="AB40" i="38"/>
  <c r="X40" i="38"/>
  <c r="Z40" i="38"/>
  <c r="T42" i="38"/>
  <c r="V40" i="38"/>
  <c r="D19" i="44" l="1"/>
  <c r="X42" i="38"/>
  <c r="T44" i="38"/>
  <c r="AB42" i="38"/>
  <c r="V42" i="38"/>
  <c r="Z42" i="38"/>
  <c r="T46" i="38" l="1"/>
  <c r="Z44" i="38"/>
  <c r="Z46" i="38" s="1"/>
  <c r="V44" i="38"/>
  <c r="X44" i="38"/>
  <c r="AB44" i="38"/>
  <c r="Z49" i="38" l="1"/>
  <c r="Z50" i="38" s="1"/>
  <c r="T49" i="38"/>
  <c r="T50" i="38" s="1"/>
  <c r="F49" i="38"/>
  <c r="V46" i="38"/>
  <c r="AB46" i="38"/>
  <c r="L49" i="38"/>
  <c r="X46" i="38"/>
  <c r="D20" i="44" l="1"/>
  <c r="Z52" i="38"/>
  <c r="T52" i="38"/>
  <c r="J49" i="38"/>
  <c r="J50" i="38" s="1"/>
  <c r="X49" i="38"/>
  <c r="X50" i="38" s="1"/>
  <c r="N49" i="38"/>
  <c r="N50" i="38" s="1"/>
  <c r="AB49" i="38"/>
  <c r="AB50" i="38" s="1"/>
  <c r="H49" i="38"/>
  <c r="H50" i="38" s="1"/>
  <c r="V49" i="38"/>
  <c r="V50" i="38" s="1"/>
  <c r="F50" i="38"/>
  <c r="D22" i="44" s="1"/>
  <c r="L50" i="38"/>
  <c r="X52" i="38" l="1"/>
  <c r="H52" i="38"/>
  <c r="AB52" i="38"/>
  <c r="V52" i="38"/>
  <c r="J52" i="38"/>
  <c r="L52" i="38"/>
  <c r="N52" i="38"/>
  <c r="F52" i="38"/>
  <c r="D24" i="44" l="1"/>
  <c r="N37" i="44"/>
  <c r="P37" i="44" s="1"/>
  <c r="N31" i="44"/>
  <c r="N30" i="44"/>
  <c r="P30" i="44" s="1"/>
  <c r="P31" i="44" l="1"/>
  <c r="F31" i="44"/>
</calcChain>
</file>

<file path=xl/sharedStrings.xml><?xml version="1.0" encoding="utf-8"?>
<sst xmlns="http://schemas.openxmlformats.org/spreadsheetml/2006/main" count="181" uniqueCount="143">
  <si>
    <t>Fonds propres</t>
  </si>
  <si>
    <t>NS</t>
  </si>
  <si>
    <t>Wallonie</t>
  </si>
  <si>
    <t>Flandre</t>
  </si>
  <si>
    <t>Revenus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</si>
  <si>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</si>
  <si>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</si>
  <si>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</si>
  <si>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</si>
  <si>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</si>
  <si>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</si>
  <si>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</si>
  <si>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</si>
  <si>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</si>
  <si>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</si>
  <si>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</si>
  <si>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</si>
  <si>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</si>
  <si>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Indemnité de réemploi</t>
  </si>
  <si>
    <t>Montant total du rachat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</si>
  <si>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</si>
  <si>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</si>
  <si>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</si>
  <si>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</si>
  <si>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</si>
  <si>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</si>
  <si>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</si>
  <si>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</si>
  <si>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Durée</t>
  </si>
  <si>
    <t>Taux</t>
  </si>
  <si>
    <t>Total chèque repas par mois</t>
  </si>
  <si>
    <t>Crédits en cours non rachetés</t>
  </si>
  <si>
    <t>Rachat de prêt</t>
  </si>
  <si>
    <t>Construction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</si>
  <si>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</si>
  <si>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</si>
  <si>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</si>
  <si>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</si>
  <si>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</si>
  <si>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</si>
  <si>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</si>
  <si>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</si>
  <si>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</si>
  <si>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Mensualité</t>
  </si>
  <si>
    <t>Montant original prêt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</si>
  <si>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</si>
  <si>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</si>
  <si>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</si>
  <si>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</si>
  <si>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</si>
  <si>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</si>
  <si>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>Credit foncier</t>
  </si>
  <si>
    <t>Elantis</t>
  </si>
  <si>
    <t>NA</t>
  </si>
  <si>
    <t>Rapport charges revenus</t>
  </si>
  <si>
    <t xml:space="preserve">Vente </t>
  </si>
  <si>
    <t xml:space="preserve">Prix d'achat </t>
  </si>
  <si>
    <t xml:space="preserve">Travaux </t>
  </si>
  <si>
    <t>Montant travaux</t>
  </si>
  <si>
    <t>Montant achat</t>
  </si>
  <si>
    <t>Montant achat/construction/travaux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</si>
  <si>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</si>
  <si>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</si>
  <si>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</si>
  <si>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</si>
  <si>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</si>
  <si>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</si>
  <si>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</si>
  <si>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Simulation crédit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</si>
  <si>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</si>
  <si>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</si>
  <si>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</si>
  <si>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</si>
  <si>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</si>
  <si>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</si>
  <si>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</si>
  <si>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Garanties immobilières    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</si>
  <si>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</si>
  <si>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</si>
  <si>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</si>
  <si>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</si>
  <si>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</si>
  <si>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 xml:space="preserve">Montant final du prêt                         </t>
  </si>
  <si>
    <t>Gage (Habitation financé)</t>
  </si>
  <si>
    <t>Emprunteurs</t>
  </si>
  <si>
    <t>Variable 1/1/1 - cap 3%</t>
  </si>
  <si>
    <t>Crédit foncier - Frais de dossier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</si>
  <si>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</si>
  <si>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</si>
  <si>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</si>
  <si>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</si>
  <si>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</si>
  <si>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</si>
  <si>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Abattement droit d'enregistrement</t>
  </si>
  <si>
    <t>Taux fixe</t>
  </si>
  <si>
    <t xml:space="preserve">Elantis - Frais de dossier     </t>
  </si>
  <si>
    <t xml:space="preserve">Garanties immobilières            </t>
  </si>
  <si>
    <t>Revenus / dépenses réelles</t>
  </si>
  <si>
    <t>Wallonie 12,5%</t>
  </si>
  <si>
    <t>Wallonie 6%</t>
  </si>
  <si>
    <t>Flandre 10%</t>
  </si>
  <si>
    <t>Flandre 5%</t>
  </si>
  <si>
    <t xml:space="preserve">Frais de main levée            </t>
  </si>
  <si>
    <t xml:space="preserve">Taux dans le temps                     </t>
  </si>
  <si>
    <t xml:space="preserve">Solde actuel                               </t>
  </si>
  <si>
    <t>Montant du crédit</t>
  </si>
  <si>
    <t>Durée en années</t>
  </si>
  <si>
    <t>Nombres de paiements mensuels</t>
  </si>
  <si>
    <t>Formule de crédit</t>
  </si>
  <si>
    <t>Taux annuel</t>
  </si>
  <si>
    <t>Taux mensuel</t>
  </si>
  <si>
    <t>Données du crédit</t>
  </si>
  <si>
    <t>Frais de notaires acte d'achat</t>
  </si>
  <si>
    <t>Frais de notaires acte de prêt</t>
  </si>
  <si>
    <t xml:space="preserve">Frais de dossier     </t>
  </si>
  <si>
    <t>Quotité projet</t>
  </si>
  <si>
    <t xml:space="preserve">Quotité projet                                        </t>
  </si>
  <si>
    <t xml:space="preserve">Quotité projet                             </t>
  </si>
  <si>
    <t>Montant nécessaire hors frais de dossier</t>
  </si>
  <si>
    <t>Montant achat / construction</t>
  </si>
  <si>
    <t>ni de Jean Marc Minne ou un de ses représentants. Le taux et la quotité dépendent des éléments d'une demande de contrat signée.</t>
  </si>
  <si>
    <t>Remboursement par mois</t>
  </si>
  <si>
    <t>Remboursement après revision max.</t>
  </si>
  <si>
    <t>Mensualité max.</t>
  </si>
  <si>
    <t>1/1/1 - cap 3%</t>
  </si>
  <si>
    <t xml:space="preserve"> 5/1/1 - cap 3%</t>
  </si>
  <si>
    <t>10/1/1 - cap 3%</t>
  </si>
  <si>
    <t>Crédit foncier</t>
  </si>
  <si>
    <t xml:space="preserve">&lt; 75% </t>
  </si>
  <si>
    <t>1/1/1 - cap 2,5%</t>
  </si>
  <si>
    <t>3/3/3 - cap 2%</t>
  </si>
  <si>
    <t xml:space="preserve"> 5/5/5 - cap 2%</t>
  </si>
  <si>
    <t>10/5 - Cap 2%</t>
  </si>
  <si>
    <t>Taux annuel correspondant</t>
  </si>
  <si>
    <t>Coût total</t>
  </si>
  <si>
    <t>Fixe</t>
  </si>
  <si>
    <t>Comparaison taux</t>
  </si>
  <si>
    <t>Réels</t>
  </si>
  <si>
    <t>Considérés</t>
  </si>
  <si>
    <t>Remboursement maximum</t>
  </si>
  <si>
    <t>Solde alimentaire</t>
  </si>
  <si>
    <t>Cette étude, en remboursement par mensualités constantes, est réalisée à titre informatif et ne peut donc pas être considérée comme offre de crédit. Elle n'implique aucun engagement, ni de la part du client,</t>
  </si>
  <si>
    <t xml:space="preserve">101% - 118%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</si>
</sst>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0"/>
      <name val="Times New Roman"/>
      <family val="1"/>
    </font>
    <font>
      <sz val="9"/>
      <color theme="1"/>
      <name val="Arial"/>
      <family val="2"/>
    </font>
    <font>
      <sz val="10"/>
      <color theme="1"/>
      <name val="Times New Roman"/>
      <family val="1"/>
    </font>
    <font>
      <sz val="10"/>
      <color rgb="FFFF0000"/>
      <name val="Times New Roman"/>
      <family val="1"/>
    </font>
    <font>
      <sz val="10"/>
      <color indexed="8"/>
      <name val="Times New Roman"/>
      <family val="1"/>
    </font>
    <font>
      <sz val="10"/>
      <color rgb="FFFFFF00"/>
      <name val="Times New Roman"/>
      <family val="1"/>
    </font>
    <font>
      <sz val="10"/>
      <color theme="3"/>
      <name val="Times New Roman"/>
      <family val="1"/>
    </font>
    <font>
      <sz val="10"/>
      <color theme="0"/>
      <name val="Times New Roman"/>
      <family val="1"/>
    </font>
    <font>
      <sz val="10"/>
      <color rgb="FFC00000"/>
      <name val="Times New Roman"/>
      <family val="1"/>
    </font>
    <font>
      <sz val="10"/>
      <color theme="5" tint="-0.499984740745262"/>
      <name val="Times New Roman"/>
      <family val="1"/>
    </font>
    <font>
      <sz val="10"/>
      <color theme="6" tint="-0.499984740745262"/>
      <name val="Times New Roman"/>
      <family val="1"/>
    </font>
    <font>
      <sz val="10"/>
      <color rgb="FF000000"/>
      <name val="Times New Roman"/>
      <family val="1"/>
    </font>
    <font>
      <sz val="14"/>
      <color rgb="FFFFFF00"/>
      <name val="Times New Roman"/>
      <family val="1"/>
    </font>
    <font>
      <b/>
      <sz val="10"/>
      <color theme="3"/>
      <name val="Times New Roman"/>
      <family val="1"/>
    </font>
    <font>
      <sz val="9"/>
      <color theme="1"/>
      <name val="Times New Roman"/>
      <family val="1"/>
    </font>
    <font>
      <b/>
      <u/>
      <sz val="10"/>
      <color theme="3"/>
      <name val="Times New Roman"/>
      <family val="1"/>
    </font>
    <font>
      <b/>
      <sz val="10"/>
      <color theme="0"/>
      <name val="Times New Roman"/>
      <family val="1"/>
    </font>
    <font>
      <sz val="10"/>
      <color theme="8" tint="-0.249977111117893"/>
      <name val="Times New Roman"/>
      <family val="1"/>
    </font>
    <font>
      <b/>
      <sz val="10"/>
      <name val="Times New Roman"/>
      <family val="1"/>
    </font>
    <font>
      <b/>
      <sz val="10"/>
      <color theme="8" tint="-0.249977111117893"/>
      <name val="Times New Roman"/>
      <family val="1"/>
    </font>
    <font>
      <b/>
      <u/>
      <sz val="10"/>
      <name val="Times New Roman"/>
      <family val="1"/>
    </font>
    <font>
      <sz val="10"/>
      <color theme="5" tint="-0.249977111117893"/>
      <name val="Times New Roman"/>
      <family val="1"/>
    </font>
    <font>
      <b/>
      <sz val="10"/>
      <color theme="5" tint="-0.249977111117893"/>
      <name val="Times New Roman"/>
      <family val="1"/>
    </font>
    <font>
      <u/>
      <sz val="10"/>
      <color theme="3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sz val="9"/>
      <name val="Arial"/>
      <family val="2"/>
    </font>
    <font>
      <sz val="11"/>
      <color theme="0"/>
      <name val="Times New Roman"/>
      <family val="1"/>
    </font>
    <font>
      <sz val="9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FAFEC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996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298">
    <xf numFmtId="0" fontId="0" fillId="0" borderId="0" xfId="0"/>
    <xf numFmtId="0" fontId="5" fillId="4" borderId="0" xfId="0" applyFont="1" applyFill="1" applyBorder="1" applyAlignment="1">
      <alignment horizontal="center" vertical="center"/>
    </xf>
    <xf numFmtId="10" fontId="4" fillId="4" borderId="0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Alignment="1" applyProtection="1">
      <alignment vertical="center"/>
      <protection locked="0"/>
    </xf>
    <xf numFmtId="0" fontId="8" fillId="4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vertical="center"/>
    </xf>
    <xf numFmtId="0" fontId="8" fillId="0" borderId="0" xfId="0" applyFont="1" applyFill="1" applyAlignment="1" applyProtection="1">
      <alignment vertical="center"/>
      <protection locked="0"/>
    </xf>
    <xf numFmtId="0" fontId="4" fillId="4" borderId="0" xfId="0" applyFont="1" applyFill="1" applyBorder="1" applyAlignment="1" applyProtection="1">
      <alignment horizontal="left"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left" vertical="center"/>
      <protection locked="0"/>
    </xf>
    <xf numFmtId="0" fontId="10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horizontal="center" vertical="center"/>
    </xf>
    <xf numFmtId="49" fontId="6" fillId="4" borderId="0" xfId="0" applyNumberFormat="1" applyFont="1" applyFill="1" applyBorder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</xf>
    <xf numFmtId="166" fontId="4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vertical="center"/>
    </xf>
    <xf numFmtId="166" fontId="4" fillId="4" borderId="0" xfId="0" applyNumberFormat="1" applyFont="1" applyFill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vertical="center"/>
      <protection locked="0"/>
    </xf>
    <xf numFmtId="166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vertical="center" wrapText="1"/>
      <protection locked="0"/>
    </xf>
    <xf numFmtId="0" fontId="11" fillId="0" borderId="0" xfId="0" applyFont="1" applyFill="1" applyBorder="1" applyAlignment="1" applyProtection="1">
      <alignment horizontal="left" vertical="center"/>
      <protection locked="0"/>
    </xf>
    <xf numFmtId="4" fontId="6" fillId="0" borderId="0" xfId="0" applyNumberFormat="1" applyFont="1" applyFill="1" applyBorder="1" applyAlignment="1" applyProtection="1">
      <alignment horizontal="center" vertical="center"/>
      <protection locked="0"/>
    </xf>
    <xf numFmtId="166" fontId="4" fillId="0" borderId="0" xfId="0" applyNumberFormat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>
      <alignment horizontal="left" vertic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 applyProtection="1">
      <alignment horizontal="left" vertical="center"/>
      <protection locked="0"/>
    </xf>
    <xf numFmtId="4" fontId="6" fillId="4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>
      <alignment horizontal="center" vertical="center"/>
    </xf>
    <xf numFmtId="8" fontId="11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left" vertical="center"/>
    </xf>
    <xf numFmtId="166" fontId="9" fillId="4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horizontal="center" vertical="center"/>
    </xf>
    <xf numFmtId="166" fontId="4" fillId="4" borderId="0" xfId="0" applyNumberFormat="1" applyFont="1" applyFill="1" applyBorder="1" applyAlignment="1" applyProtection="1">
      <alignment horizontal="left" vertical="center"/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  <protection locked="0"/>
    </xf>
    <xf numFmtId="165" fontId="4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3" xfId="0" applyFont="1" applyFill="1" applyBorder="1" applyAlignment="1" applyProtection="1">
      <alignment vertical="center"/>
      <protection locked="0"/>
    </xf>
    <xf numFmtId="166" fontId="4" fillId="0" borderId="0" xfId="0" applyNumberFormat="1" applyFont="1" applyFill="1" applyBorder="1" applyAlignment="1" applyProtection="1">
      <alignment horizontal="center" vertical="center"/>
      <protection locked="0"/>
    </xf>
    <xf numFmtId="166" fontId="13" fillId="4" borderId="0" xfId="0" applyNumberFormat="1" applyFont="1" applyFill="1" applyBorder="1" applyAlignment="1" applyProtection="1">
      <alignment horizontal="center" vertical="center"/>
      <protection locked="0"/>
    </xf>
    <xf numFmtId="49" fontId="4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3" xfId="0" applyFont="1" applyFill="1" applyBorder="1" applyAlignment="1">
      <alignment horizontal="center" vertical="center"/>
    </xf>
    <xf numFmtId="166" fontId="4" fillId="4" borderId="0" xfId="0" applyNumberFormat="1" applyFont="1" applyFill="1" applyBorder="1" applyAlignment="1">
      <alignment horizontal="center" vertical="center"/>
    </xf>
    <xf numFmtId="0" fontId="6" fillId="4" borderId="0" xfId="4" applyFont="1" applyFill="1" applyBorder="1" applyAlignment="1">
      <alignment horizontal="left" vertical="center"/>
    </xf>
    <xf numFmtId="0" fontId="4" fillId="4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Border="1" applyAlignment="1">
      <alignment horizontal="center" vertical="center"/>
    </xf>
    <xf numFmtId="44" fontId="4" fillId="4" borderId="0" xfId="1" applyFont="1" applyFill="1" applyBorder="1" applyAlignment="1" applyProtection="1">
      <alignment horizontal="center" vertical="center"/>
      <protection locked="0"/>
    </xf>
    <xf numFmtId="164" fontId="11" fillId="4" borderId="0" xfId="0" applyNumberFormat="1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>
      <alignment horizontal="left" vertical="center"/>
    </xf>
    <xf numFmtId="166" fontId="11" fillId="4" borderId="0" xfId="0" applyNumberFormat="1" applyFont="1" applyFill="1" applyBorder="1" applyAlignment="1" applyProtection="1">
      <alignment horizontal="center" vertical="center"/>
      <protection locked="0"/>
    </xf>
    <xf numFmtId="164" fontId="6" fillId="4" borderId="0" xfId="0" applyNumberFormat="1" applyFont="1" applyFill="1" applyBorder="1" applyAlignment="1">
      <alignment horizontal="center" vertical="center"/>
    </xf>
    <xf numFmtId="10" fontId="7" fillId="4" borderId="0" xfId="0" applyNumberFormat="1" applyFont="1" applyFill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166" fontId="7" fillId="4" borderId="0" xfId="0" applyNumberFormat="1" applyFont="1" applyFill="1" applyBorder="1" applyAlignment="1" applyProtection="1">
      <alignment horizontal="center" vertical="center"/>
    </xf>
    <xf numFmtId="9" fontId="4" fillId="4" borderId="0" xfId="0" applyNumberFormat="1" applyFont="1" applyFill="1" applyBorder="1" applyAlignment="1" applyProtection="1">
      <alignment horizontal="center" vertical="center"/>
    </xf>
    <xf numFmtId="10" fontId="4" fillId="4" borderId="0" xfId="0" applyNumberFormat="1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 applyProtection="1">
      <alignment vertical="center"/>
      <protection locked="0"/>
    </xf>
    <xf numFmtId="0" fontId="4" fillId="4" borderId="0" xfId="0" applyFont="1" applyFill="1" applyBorder="1" applyAlignment="1">
      <alignment vertical="center"/>
    </xf>
    <xf numFmtId="9" fontId="14" fillId="4" borderId="0" xfId="0" applyNumberFormat="1" applyFont="1" applyFill="1" applyBorder="1" applyAlignment="1" applyProtection="1">
      <alignment horizontal="center" vertical="center"/>
    </xf>
    <xf numFmtId="165" fontId="6" fillId="4" borderId="0" xfId="0" applyNumberFormat="1" applyFont="1" applyFill="1" applyBorder="1" applyAlignment="1" applyProtection="1">
      <alignment horizontal="center" vertical="center"/>
      <protection locked="0"/>
    </xf>
    <xf numFmtId="10" fontId="6" fillId="4" borderId="0" xfId="0" applyNumberFormat="1" applyFont="1" applyFill="1" applyBorder="1" applyAlignment="1" applyProtection="1">
      <alignment horizontal="center" vertical="center"/>
      <protection locked="0"/>
    </xf>
    <xf numFmtId="165" fontId="11" fillId="4" borderId="0" xfId="0" applyNumberFormat="1" applyFont="1" applyFill="1" applyBorder="1" applyAlignment="1" applyProtection="1">
      <alignment horizontal="center" vertical="center"/>
      <protection locked="0"/>
    </xf>
    <xf numFmtId="8" fontId="11" fillId="4" borderId="0" xfId="0" applyNumberFormat="1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8" fontId="4" fillId="4" borderId="0" xfId="0" applyNumberFormat="1" applyFont="1" applyFill="1" applyBorder="1" applyAlignment="1" applyProtection="1">
      <alignment horizontal="center" vertical="center"/>
    </xf>
    <xf numFmtId="44" fontId="11" fillId="4" borderId="0" xfId="1" applyFont="1" applyFill="1" applyBorder="1" applyAlignment="1" applyProtection="1">
      <alignment vertical="center"/>
      <protection locked="0"/>
    </xf>
    <xf numFmtId="49" fontId="4" fillId="4" borderId="0" xfId="0" applyNumberFormat="1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vertical="center"/>
    </xf>
    <xf numFmtId="10" fontId="6" fillId="4" borderId="0" xfId="0" applyNumberFormat="1" applyFont="1" applyFill="1" applyBorder="1" applyAlignment="1" applyProtection="1">
      <alignment horizontal="center" vertical="center"/>
    </xf>
    <xf numFmtId="166" fontId="4" fillId="4" borderId="1" xfId="0" applyNumberFormat="1" applyFont="1" applyFill="1" applyBorder="1" applyAlignment="1">
      <alignment horizontal="left" vertical="center"/>
    </xf>
    <xf numFmtId="1" fontId="4" fillId="4" borderId="1" xfId="0" applyNumberFormat="1" applyFont="1" applyFill="1" applyBorder="1" applyAlignment="1">
      <alignment horizontal="right" vertical="center"/>
    </xf>
    <xf numFmtId="1" fontId="4" fillId="4" borderId="1" xfId="2" applyNumberFormat="1" applyFont="1" applyFill="1" applyBorder="1" applyAlignment="1">
      <alignment horizontal="right" vertical="center"/>
    </xf>
    <xf numFmtId="166" fontId="4" fillId="4" borderId="1" xfId="0" applyNumberFormat="1" applyFont="1" applyFill="1" applyBorder="1" applyAlignment="1">
      <alignment vertical="center"/>
    </xf>
    <xf numFmtId="168" fontId="4" fillId="4" borderId="1" xfId="0" applyNumberFormat="1" applyFont="1" applyFill="1" applyBorder="1" applyAlignment="1" applyProtection="1">
      <alignment horizontal="right" vertical="center"/>
      <protection locked="0"/>
    </xf>
    <xf numFmtId="0" fontId="4" fillId="4" borderId="1" xfId="0" applyFont="1" applyFill="1" applyBorder="1" applyAlignment="1" applyProtection="1">
      <alignment vertical="center"/>
      <protection locked="0"/>
    </xf>
    <xf numFmtId="166" fontId="4" fillId="4" borderId="1" xfId="0" applyNumberFormat="1" applyFont="1" applyFill="1" applyBorder="1" applyAlignment="1" applyProtection="1">
      <alignment horizontal="right" vertical="center"/>
      <protection locked="0"/>
    </xf>
    <xf numFmtId="167" fontId="4" fillId="4" borderId="1" xfId="2" applyNumberFormat="1" applyFont="1" applyFill="1" applyBorder="1" applyAlignment="1">
      <alignment horizontal="right" vertical="center"/>
    </xf>
    <xf numFmtId="0" fontId="6" fillId="4" borderId="0" xfId="0" applyFont="1" applyFill="1" applyBorder="1"/>
    <xf numFmtId="9" fontId="11" fillId="4" borderId="0" xfId="0" applyNumberFormat="1" applyFont="1" applyFill="1" applyBorder="1" applyAlignment="1" applyProtection="1">
      <alignment horizontal="center" vertical="center"/>
    </xf>
    <xf numFmtId="166" fontId="4" fillId="4" borderId="1" xfId="2" applyNumberFormat="1" applyFont="1" applyFill="1" applyBorder="1" applyAlignment="1">
      <alignment horizontal="right" vertical="center"/>
    </xf>
    <xf numFmtId="166" fontId="4" fillId="4" borderId="1" xfId="0" applyNumberFormat="1" applyFont="1" applyFill="1" applyBorder="1" applyAlignment="1" applyProtection="1">
      <alignment horizontal="left" vertical="center"/>
      <protection locked="0"/>
    </xf>
    <xf numFmtId="166" fontId="4" fillId="4" borderId="1" xfId="0" applyNumberFormat="1" applyFont="1" applyFill="1" applyBorder="1" applyAlignment="1" applyProtection="1">
      <alignment vertical="center"/>
      <protection locked="0"/>
    </xf>
    <xf numFmtId="0" fontId="4" fillId="4" borderId="1" xfId="0" applyFont="1" applyFill="1" applyBorder="1" applyAlignment="1" applyProtection="1">
      <alignment horizontal="right" vertical="center"/>
      <protection locked="0"/>
    </xf>
    <xf numFmtId="0" fontId="6" fillId="4" borderId="1" xfId="0" applyFont="1" applyFill="1" applyBorder="1" applyAlignment="1" applyProtection="1">
      <alignment vertical="center"/>
      <protection locked="0"/>
    </xf>
    <xf numFmtId="165" fontId="4" fillId="4" borderId="1" xfId="2" applyNumberFormat="1" applyFont="1" applyFill="1" applyBorder="1" applyAlignment="1">
      <alignment horizontal="right" vertical="center"/>
    </xf>
    <xf numFmtId="167" fontId="15" fillId="4" borderId="1" xfId="0" applyNumberFormat="1" applyFont="1" applyFill="1" applyBorder="1" applyAlignment="1">
      <alignment horizontal="right" vertical="center"/>
    </xf>
    <xf numFmtId="1" fontId="4" fillId="4" borderId="0" xfId="0" applyNumberFormat="1" applyFont="1" applyFill="1" applyBorder="1" applyAlignment="1" applyProtection="1">
      <alignment horizontal="center" vertical="center"/>
    </xf>
    <xf numFmtId="0" fontId="4" fillId="4" borderId="0" xfId="0" applyFont="1" applyFill="1" applyAlignment="1" applyProtection="1">
      <alignment vertic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166" fontId="10" fillId="9" borderId="2" xfId="0" applyNumberFormat="1" applyFont="1" applyFill="1" applyBorder="1" applyAlignment="1" applyProtection="1">
      <alignment horizontal="center" vertical="center"/>
      <protection locked="0"/>
    </xf>
    <xf numFmtId="0" fontId="10" fillId="9" borderId="2" xfId="0" applyFont="1" applyFill="1" applyBorder="1" applyAlignment="1" applyProtection="1">
      <alignment horizontal="center" vertical="center"/>
      <protection locked="0"/>
    </xf>
    <xf numFmtId="0" fontId="10" fillId="9" borderId="2" xfId="0" applyFont="1" applyFill="1" applyBorder="1" applyAlignment="1" applyProtection="1">
      <alignment horizontal="left" vertical="center"/>
      <protection locked="0"/>
    </xf>
    <xf numFmtId="4" fontId="10" fillId="9" borderId="2" xfId="0" applyNumberFormat="1" applyFont="1" applyFill="1" applyBorder="1" applyAlignment="1" applyProtection="1">
      <alignment horizontal="center" vertical="center"/>
      <protection locked="0"/>
    </xf>
    <xf numFmtId="166" fontId="10" fillId="9" borderId="2" xfId="0" applyNumberFormat="1" applyFont="1" applyFill="1" applyBorder="1" applyAlignment="1" applyProtection="1">
      <alignment horizontal="center" vertical="center"/>
    </xf>
    <xf numFmtId="0" fontId="10" fillId="6" borderId="2" xfId="0" applyFont="1" applyFill="1" applyBorder="1" applyAlignment="1" applyProtection="1">
      <alignment vertical="center"/>
      <protection locked="0"/>
    </xf>
    <xf numFmtId="0" fontId="6" fillId="4" borderId="16" xfId="0" applyFont="1" applyFill="1" applyBorder="1" applyAlignment="1" applyProtection="1">
      <alignment vertical="center"/>
      <protection locked="0"/>
    </xf>
    <xf numFmtId="0" fontId="6" fillId="4" borderId="17" xfId="0" applyFont="1" applyFill="1" applyBorder="1" applyAlignment="1" applyProtection="1">
      <alignment vertical="center"/>
      <protection locked="0"/>
    </xf>
    <xf numFmtId="0" fontId="6" fillId="4" borderId="18" xfId="0" applyFont="1" applyFill="1" applyBorder="1" applyAlignment="1" applyProtection="1">
      <alignment vertical="center"/>
      <protection locked="0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10" fillId="6" borderId="1" xfId="0" applyFont="1" applyFill="1" applyBorder="1" applyAlignment="1" applyProtection="1">
      <alignment horizontal="left" vertical="center"/>
      <protection locked="0"/>
    </xf>
    <xf numFmtId="166" fontId="10" fillId="6" borderId="1" xfId="0" applyNumberFormat="1" applyFont="1" applyFill="1" applyBorder="1" applyAlignment="1" applyProtection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4" fillId="4" borderId="16" xfId="2" applyFont="1" applyFill="1" applyBorder="1" applyAlignment="1">
      <alignment vertical="center"/>
    </xf>
    <xf numFmtId="0" fontId="6" fillId="4" borderId="24" xfId="0" applyFont="1" applyFill="1" applyBorder="1" applyAlignment="1" applyProtection="1">
      <alignment vertical="center"/>
      <protection locked="0"/>
    </xf>
    <xf numFmtId="0" fontId="4" fillId="4" borderId="24" xfId="0" applyFont="1" applyFill="1" applyBorder="1" applyAlignment="1" applyProtection="1">
      <alignment vertical="center"/>
      <protection locked="0"/>
    </xf>
    <xf numFmtId="166" fontId="6" fillId="4" borderId="16" xfId="0" applyNumberFormat="1" applyFont="1" applyFill="1" applyBorder="1" applyAlignment="1" applyProtection="1">
      <alignment horizontal="center" vertical="center"/>
      <protection locked="0"/>
    </xf>
    <xf numFmtId="166" fontId="6" fillId="4" borderId="24" xfId="0" applyNumberFormat="1" applyFont="1" applyFill="1" applyBorder="1" applyAlignment="1" applyProtection="1">
      <alignment horizontal="center" vertical="center"/>
      <protection locked="0"/>
    </xf>
    <xf numFmtId="8" fontId="6" fillId="4" borderId="24" xfId="0" applyNumberFormat="1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>
      <alignment vertical="center"/>
    </xf>
    <xf numFmtId="0" fontId="6" fillId="4" borderId="9" xfId="0" applyFont="1" applyFill="1" applyBorder="1" applyAlignment="1">
      <alignment vertical="center"/>
    </xf>
    <xf numFmtId="166" fontId="4" fillId="4" borderId="16" xfId="0" applyNumberFormat="1" applyFont="1" applyFill="1" applyBorder="1" applyAlignment="1">
      <alignment horizontal="center" vertical="center"/>
    </xf>
    <xf numFmtId="166" fontId="4" fillId="4" borderId="24" xfId="0" applyNumberFormat="1" applyFont="1" applyFill="1" applyBorder="1" applyAlignment="1">
      <alignment horizontal="center" vertical="center"/>
    </xf>
    <xf numFmtId="166" fontId="4" fillId="4" borderId="24" xfId="0" applyNumberFormat="1" applyFont="1" applyFill="1" applyBorder="1" applyAlignment="1" applyProtection="1">
      <alignment horizontal="center" vertical="center"/>
      <protection locked="0"/>
    </xf>
    <xf numFmtId="0" fontId="4" fillId="4" borderId="25" xfId="0" applyFont="1" applyFill="1" applyBorder="1" applyAlignment="1" applyProtection="1">
      <alignment vertical="center"/>
      <protection locked="0"/>
    </xf>
    <xf numFmtId="166" fontId="6" fillId="4" borderId="25" xfId="0" applyNumberFormat="1" applyFont="1" applyFill="1" applyBorder="1" applyAlignment="1" applyProtection="1">
      <alignment horizontal="center" vertical="center"/>
      <protection locked="0"/>
    </xf>
    <xf numFmtId="166" fontId="4" fillId="4" borderId="25" xfId="0" applyNumberFormat="1" applyFont="1" applyFill="1" applyBorder="1" applyAlignment="1" applyProtection="1">
      <alignment horizontal="center" vertical="center" wrapText="1"/>
      <protection locked="0" hidden="1"/>
    </xf>
    <xf numFmtId="0" fontId="6" fillId="4" borderId="1" xfId="0" applyFont="1" applyFill="1" applyBorder="1" applyAlignment="1">
      <alignment vertical="center"/>
    </xf>
    <xf numFmtId="166" fontId="4" fillId="4" borderId="1" xfId="0" applyNumberFormat="1" applyFont="1" applyFill="1" applyBorder="1" applyAlignment="1" applyProtection="1">
      <alignment horizontal="center" vertical="center"/>
      <protection locked="0"/>
    </xf>
    <xf numFmtId="0" fontId="11" fillId="4" borderId="16" xfId="0" applyFont="1" applyFill="1" applyBorder="1" applyAlignment="1" applyProtection="1">
      <alignment horizontal="left" vertical="center"/>
      <protection locked="0"/>
    </xf>
    <xf numFmtId="0" fontId="11" fillId="4" borderId="24" xfId="0" applyFont="1" applyFill="1" applyBorder="1" applyAlignment="1" applyProtection="1">
      <alignment horizontal="left" vertical="center"/>
      <protection locked="0"/>
    </xf>
    <xf numFmtId="0" fontId="11" fillId="4" borderId="26" xfId="0" applyFont="1" applyFill="1" applyBorder="1" applyAlignment="1" applyProtection="1">
      <alignment horizontal="left" vertical="center"/>
      <protection locked="0"/>
    </xf>
    <xf numFmtId="166" fontId="6" fillId="0" borderId="18" xfId="0" applyNumberFormat="1" applyFont="1" applyFill="1" applyBorder="1" applyAlignment="1" applyProtection="1">
      <alignment horizontal="center" vertical="center"/>
      <protection locked="0"/>
    </xf>
    <xf numFmtId="166" fontId="4" fillId="4" borderId="16" xfId="0" applyNumberFormat="1" applyFont="1" applyFill="1" applyBorder="1" applyAlignment="1" applyProtection="1">
      <alignment horizontal="center" vertical="center"/>
    </xf>
    <xf numFmtId="166" fontId="4" fillId="4" borderId="24" xfId="0" applyNumberFormat="1" applyFont="1" applyFill="1" applyBorder="1" applyAlignment="1" applyProtection="1">
      <alignment horizontal="center" vertical="center"/>
    </xf>
    <xf numFmtId="166" fontId="4" fillId="4" borderId="26" xfId="0" applyNumberFormat="1" applyFont="1" applyFill="1" applyBorder="1" applyAlignment="1" applyProtection="1">
      <alignment horizontal="center" vertical="center"/>
    </xf>
    <xf numFmtId="166" fontId="6" fillId="4" borderId="26" xfId="0" applyNumberFormat="1" applyFont="1" applyFill="1" applyBorder="1" applyAlignment="1" applyProtection="1">
      <alignment horizontal="center" vertical="center"/>
      <protection locked="0"/>
    </xf>
    <xf numFmtId="10" fontId="6" fillId="4" borderId="16" xfId="0" applyNumberFormat="1" applyFont="1" applyFill="1" applyBorder="1" applyAlignment="1" applyProtection="1">
      <alignment horizontal="center" vertical="center"/>
      <protection locked="0"/>
    </xf>
    <xf numFmtId="10" fontId="6" fillId="4" borderId="24" xfId="0" applyNumberFormat="1" applyFont="1" applyFill="1" applyBorder="1" applyAlignment="1" applyProtection="1">
      <alignment horizontal="center" vertical="center"/>
      <protection locked="0"/>
    </xf>
    <xf numFmtId="10" fontId="6" fillId="4" borderId="26" xfId="0" applyNumberFormat="1" applyFont="1" applyFill="1" applyBorder="1" applyAlignment="1" applyProtection="1">
      <alignment horizontal="center" vertical="center"/>
      <protection locked="0"/>
    </xf>
    <xf numFmtId="166" fontId="6" fillId="0" borderId="1" xfId="0" applyNumberFormat="1" applyFont="1" applyFill="1" applyBorder="1" applyAlignment="1" applyProtection="1">
      <alignment horizontal="center" vertical="center"/>
      <protection locked="0"/>
    </xf>
    <xf numFmtId="169" fontId="6" fillId="4" borderId="16" xfId="0" applyNumberFormat="1" applyFont="1" applyFill="1" applyBorder="1" applyAlignment="1" applyProtection="1">
      <alignment horizontal="center" vertical="center"/>
      <protection locked="0"/>
    </xf>
    <xf numFmtId="169" fontId="6" fillId="4" borderId="24" xfId="0" applyNumberFormat="1" applyFont="1" applyFill="1" applyBorder="1" applyAlignment="1" applyProtection="1">
      <alignment horizontal="center" vertical="center"/>
      <protection locked="0"/>
    </xf>
    <xf numFmtId="169" fontId="6" fillId="4" borderId="26" xfId="0" applyNumberFormat="1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6" fillId="4" borderId="7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>
      <alignment vertical="center"/>
    </xf>
    <xf numFmtId="0" fontId="6" fillId="4" borderId="9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>
      <alignment horizontal="left" vertical="center"/>
    </xf>
    <xf numFmtId="0" fontId="4" fillId="4" borderId="8" xfId="0" applyFont="1" applyFill="1" applyBorder="1" applyAlignment="1" applyProtection="1">
      <alignment vertical="center"/>
      <protection locked="0"/>
    </xf>
    <xf numFmtId="0" fontId="6" fillId="4" borderId="13" xfId="0" applyFont="1" applyFill="1" applyBorder="1" applyAlignment="1">
      <alignment horizontal="left" vertical="center"/>
    </xf>
    <xf numFmtId="0" fontId="6" fillId="4" borderId="14" xfId="0" applyFont="1" applyFill="1" applyBorder="1" applyAlignment="1">
      <alignment horizontal="left" vertical="center"/>
    </xf>
    <xf numFmtId="0" fontId="6" fillId="4" borderId="15" xfId="0" applyFont="1" applyFill="1" applyBorder="1" applyAlignment="1" applyProtection="1">
      <alignment vertical="center"/>
      <protection locked="0"/>
    </xf>
    <xf numFmtId="166" fontId="6" fillId="4" borderId="24" xfId="0" applyNumberFormat="1" applyFont="1" applyFill="1" applyBorder="1" applyAlignment="1">
      <alignment horizontal="center" vertical="center"/>
    </xf>
    <xf numFmtId="166" fontId="6" fillId="4" borderId="26" xfId="0" applyNumberFormat="1" applyFont="1" applyFill="1" applyBorder="1" applyAlignment="1">
      <alignment horizontal="center" vertical="center"/>
    </xf>
    <xf numFmtId="8" fontId="6" fillId="0" borderId="16" xfId="0" applyNumberFormat="1" applyFont="1" applyFill="1" applyBorder="1" applyAlignment="1" applyProtection="1">
      <alignment horizontal="center" vertical="center"/>
      <protection locked="0"/>
    </xf>
    <xf numFmtId="8" fontId="6" fillId="0" borderId="24" xfId="0" applyNumberFormat="1" applyFont="1" applyFill="1" applyBorder="1" applyAlignment="1" applyProtection="1">
      <alignment horizontal="center" vertical="center"/>
      <protection locked="0"/>
    </xf>
    <xf numFmtId="8" fontId="6" fillId="0" borderId="26" xfId="0" applyNumberFormat="1" applyFont="1" applyFill="1" applyBorder="1" applyAlignment="1" applyProtection="1">
      <alignment horizontal="center" vertical="center"/>
      <protection locked="0"/>
    </xf>
    <xf numFmtId="166" fontId="6" fillId="0" borderId="16" xfId="0" applyNumberFormat="1" applyFont="1" applyFill="1" applyBorder="1" applyAlignment="1" applyProtection="1">
      <alignment horizontal="center" vertical="center"/>
      <protection locked="0"/>
    </xf>
    <xf numFmtId="166" fontId="6" fillId="0" borderId="24" xfId="0" applyNumberFormat="1" applyFont="1" applyFill="1" applyBorder="1" applyAlignment="1" applyProtection="1">
      <alignment horizontal="center" vertical="center"/>
      <protection locked="0"/>
    </xf>
    <xf numFmtId="166" fontId="6" fillId="0" borderId="26" xfId="0" applyNumberFormat="1" applyFont="1" applyFill="1" applyBorder="1" applyAlignment="1" applyProtection="1">
      <alignment horizontal="center" vertical="center"/>
      <protection locked="0"/>
    </xf>
    <xf numFmtId="166" fontId="6" fillId="4" borderId="4" xfId="0" applyNumberFormat="1" applyFont="1" applyFill="1" applyBorder="1" applyAlignment="1" applyProtection="1">
      <alignment horizontal="center" vertical="center"/>
      <protection locked="0"/>
    </xf>
    <xf numFmtId="0" fontId="4" fillId="4" borderId="5" xfId="4" applyFont="1" applyFill="1" applyBorder="1" applyAlignment="1">
      <alignment horizontal="left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8" xfId="4" applyFont="1" applyFill="1" applyBorder="1" applyAlignment="1">
      <alignment horizontal="left" vertical="center"/>
    </xf>
    <xf numFmtId="0" fontId="6" fillId="4" borderId="13" xfId="4" applyFont="1" applyFill="1" applyBorder="1" applyAlignment="1">
      <alignment horizontal="left" vertical="center"/>
    </xf>
    <xf numFmtId="0" fontId="4" fillId="4" borderId="14" xfId="0" applyFont="1" applyFill="1" applyBorder="1" applyAlignment="1">
      <alignment horizontal="center" vertical="center"/>
    </xf>
    <xf numFmtId="10" fontId="4" fillId="4" borderId="16" xfId="0" applyNumberFormat="1" applyFont="1" applyFill="1" applyBorder="1" applyAlignment="1" applyProtection="1">
      <alignment horizontal="center" vertical="center"/>
      <protection locked="0"/>
    </xf>
    <xf numFmtId="164" fontId="4" fillId="4" borderId="24" xfId="0" applyNumberFormat="1" applyFont="1" applyFill="1" applyBorder="1" applyAlignment="1" applyProtection="1">
      <alignment horizontal="center" vertical="center"/>
      <protection locked="0"/>
    </xf>
    <xf numFmtId="166" fontId="6" fillId="4" borderId="18" xfId="0" applyNumberFormat="1" applyFont="1" applyFill="1" applyBorder="1" applyAlignment="1" applyProtection="1">
      <alignment horizontal="center" vertical="center"/>
      <protection locked="0"/>
    </xf>
    <xf numFmtId="49" fontId="6" fillId="4" borderId="24" xfId="0" applyNumberFormat="1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left" vertical="center"/>
      <protection locked="0"/>
    </xf>
    <xf numFmtId="0" fontId="6" fillId="4" borderId="6" xfId="0" applyFont="1" applyFill="1" applyBorder="1" applyAlignment="1" applyProtection="1">
      <alignment vertical="center"/>
      <protection locked="0"/>
    </xf>
    <xf numFmtId="0" fontId="6" fillId="0" borderId="7" xfId="0" applyFont="1" applyFill="1" applyBorder="1" applyAlignment="1" applyProtection="1">
      <alignment vertical="center"/>
      <protection locked="0"/>
    </xf>
    <xf numFmtId="0" fontId="4" fillId="4" borderId="8" xfId="0" applyFont="1" applyFill="1" applyBorder="1" applyAlignment="1" applyProtection="1">
      <alignment horizontal="left" vertical="center"/>
      <protection locked="0"/>
    </xf>
    <xf numFmtId="0" fontId="6" fillId="0" borderId="9" xfId="0" applyFont="1" applyFill="1" applyBorder="1" applyAlignment="1" applyProtection="1">
      <alignment vertical="center"/>
      <protection locked="0"/>
    </xf>
    <xf numFmtId="0" fontId="4" fillId="4" borderId="13" xfId="0" applyFont="1" applyFill="1" applyBorder="1" applyAlignment="1" applyProtection="1">
      <alignment vertical="center"/>
      <protection locked="0"/>
    </xf>
    <xf numFmtId="0" fontId="6" fillId="4" borderId="14" xfId="0" applyFont="1" applyFill="1" applyBorder="1" applyAlignment="1" applyProtection="1">
      <alignment vertical="center"/>
      <protection locked="0"/>
    </xf>
    <xf numFmtId="0" fontId="6" fillId="0" borderId="15" xfId="0" applyFont="1" applyFill="1" applyBorder="1" applyAlignment="1" applyProtection="1">
      <alignment vertical="center"/>
      <protection locked="0"/>
    </xf>
    <xf numFmtId="0" fontId="4" fillId="4" borderId="5" xfId="3" applyFont="1" applyFill="1" applyBorder="1" applyAlignment="1">
      <alignment horizontal="left" vertical="center"/>
    </xf>
    <xf numFmtId="0" fontId="4" fillId="4" borderId="8" xfId="3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left" vertical="center"/>
    </xf>
    <xf numFmtId="166" fontId="4" fillId="4" borderId="26" xfId="0" applyNumberFormat="1" applyFont="1" applyFill="1" applyBorder="1" applyAlignment="1" applyProtection="1">
      <alignment horizontal="center" vertical="center"/>
      <protection locked="0"/>
    </xf>
    <xf numFmtId="10" fontId="7" fillId="4" borderId="26" xfId="0" applyNumberFormat="1" applyFont="1" applyFill="1" applyBorder="1" applyAlignment="1" applyProtection="1">
      <alignment horizontal="center" vertical="center"/>
    </xf>
    <xf numFmtId="164" fontId="6" fillId="8" borderId="1" xfId="0" applyNumberFormat="1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left" vertical="center"/>
    </xf>
    <xf numFmtId="0" fontId="4" fillId="9" borderId="6" xfId="0" applyFont="1" applyFill="1" applyBorder="1" applyAlignment="1">
      <alignment horizontal="center" vertical="center"/>
    </xf>
    <xf numFmtId="0" fontId="6" fillId="9" borderId="7" xfId="0" applyFont="1" applyFill="1" applyBorder="1" applyAlignment="1" applyProtection="1">
      <alignment vertical="center"/>
      <protection locked="0"/>
    </xf>
    <xf numFmtId="0" fontId="6" fillId="9" borderId="8" xfId="0" applyFont="1" applyFill="1" applyBorder="1" applyAlignment="1">
      <alignment horizontal="left" vertical="center"/>
    </xf>
    <xf numFmtId="0" fontId="4" fillId="9" borderId="3" xfId="0" applyFont="1" applyFill="1" applyBorder="1" applyAlignment="1">
      <alignment horizontal="center" vertical="center"/>
    </xf>
    <xf numFmtId="0" fontId="6" fillId="9" borderId="9" xfId="0" applyFont="1" applyFill="1" applyBorder="1" applyAlignment="1" applyProtection="1">
      <alignment vertical="center"/>
      <protection locked="0"/>
    </xf>
    <xf numFmtId="0" fontId="6" fillId="9" borderId="8" xfId="0" applyFont="1" applyFill="1" applyBorder="1" applyAlignment="1" applyProtection="1">
      <alignment horizontal="left" vertical="center"/>
      <protection locked="0"/>
    </xf>
    <xf numFmtId="0" fontId="4" fillId="9" borderId="3" xfId="0" applyFont="1" applyFill="1" applyBorder="1" applyAlignment="1" applyProtection="1">
      <alignment horizontal="center" vertical="center"/>
      <protection locked="0"/>
    </xf>
    <xf numFmtId="0" fontId="6" fillId="9" borderId="13" xfId="0" applyFont="1" applyFill="1" applyBorder="1" applyAlignment="1" applyProtection="1">
      <alignment horizontal="left" vertical="center"/>
      <protection locked="0"/>
    </xf>
    <xf numFmtId="0" fontId="12" fillId="9" borderId="14" xfId="0" applyFont="1" applyFill="1" applyBorder="1" applyAlignment="1" applyProtection="1">
      <alignment horizontal="center" vertical="center"/>
      <protection locked="0"/>
    </xf>
    <xf numFmtId="0" fontId="6" fillId="9" borderId="15" xfId="0" applyFont="1" applyFill="1" applyBorder="1" applyAlignment="1" applyProtection="1">
      <alignment vertical="center"/>
      <protection locked="0"/>
    </xf>
    <xf numFmtId="164" fontId="6" fillId="5" borderId="1" xfId="0" applyNumberFormat="1" applyFont="1" applyFill="1" applyBorder="1" applyAlignment="1">
      <alignment horizontal="center" vertical="center"/>
    </xf>
    <xf numFmtId="0" fontId="10" fillId="11" borderId="27" xfId="0" applyFont="1" applyFill="1" applyBorder="1" applyAlignment="1">
      <alignment horizontal="left" vertical="center"/>
    </xf>
    <xf numFmtId="0" fontId="10" fillId="11" borderId="11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6" fillId="11" borderId="12" xfId="0" applyFont="1" applyFill="1" applyBorder="1" applyAlignment="1">
      <alignment horizontal="center" vertical="center"/>
    </xf>
    <xf numFmtId="0" fontId="10" fillId="11" borderId="1" xfId="0" applyFont="1" applyFill="1" applyBorder="1" applyAlignment="1" applyProtection="1">
      <alignment horizontal="center" vertical="center"/>
      <protection locked="0"/>
    </xf>
    <xf numFmtId="0" fontId="6" fillId="8" borderId="5" xfId="0" applyFont="1" applyFill="1" applyBorder="1" applyAlignment="1">
      <alignment horizontal="left" vertical="center"/>
    </xf>
    <xf numFmtId="0" fontId="4" fillId="8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 applyProtection="1">
      <alignment vertical="center"/>
      <protection locked="0"/>
    </xf>
    <xf numFmtId="0" fontId="6" fillId="8" borderId="8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center" vertical="center"/>
    </xf>
    <xf numFmtId="0" fontId="6" fillId="8" borderId="9" xfId="0" applyFont="1" applyFill="1" applyBorder="1" applyAlignment="1" applyProtection="1">
      <alignment vertical="center"/>
      <protection locked="0"/>
    </xf>
    <xf numFmtId="0" fontId="6" fillId="8" borderId="8" xfId="0" applyFont="1" applyFill="1" applyBorder="1" applyAlignment="1" applyProtection="1">
      <alignment horizontal="left" vertical="center"/>
      <protection locked="0"/>
    </xf>
    <xf numFmtId="0" fontId="4" fillId="8" borderId="3" xfId="0" applyFont="1" applyFill="1" applyBorder="1" applyAlignment="1" applyProtection="1">
      <alignment horizontal="center" vertical="center"/>
      <protection locked="0"/>
    </xf>
    <xf numFmtId="0" fontId="6" fillId="8" borderId="13" xfId="0" applyFont="1" applyFill="1" applyBorder="1" applyAlignment="1" applyProtection="1">
      <alignment horizontal="left" vertical="center"/>
      <protection locked="0"/>
    </xf>
    <xf numFmtId="0" fontId="12" fillId="8" borderId="14" xfId="0" applyFont="1" applyFill="1" applyBorder="1" applyAlignment="1" applyProtection="1">
      <alignment horizontal="center" vertical="center"/>
      <protection locked="0"/>
    </xf>
    <xf numFmtId="0" fontId="6" fillId="8" borderId="15" xfId="0" applyFont="1" applyFill="1" applyBorder="1" applyAlignment="1" applyProtection="1">
      <alignment vertical="center"/>
      <protection locked="0"/>
    </xf>
    <xf numFmtId="0" fontId="10" fillId="10" borderId="1" xfId="0" applyFont="1" applyFill="1" applyBorder="1" applyAlignment="1" applyProtection="1">
      <alignment horizontal="center" vertical="center"/>
      <protection locked="0"/>
    </xf>
    <xf numFmtId="0" fontId="10" fillId="10" borderId="10" xfId="0" applyFont="1" applyFill="1" applyBorder="1" applyAlignment="1" applyProtection="1">
      <alignment horizontal="left" vertical="center"/>
      <protection locked="0"/>
    </xf>
    <xf numFmtId="0" fontId="6" fillId="10" borderId="11" xfId="0" applyFont="1" applyFill="1" applyBorder="1" applyAlignment="1">
      <alignment vertical="center"/>
    </xf>
    <xf numFmtId="0" fontId="6" fillId="10" borderId="12" xfId="0" applyFont="1" applyFill="1" applyBorder="1" applyAlignment="1">
      <alignment vertical="center"/>
    </xf>
    <xf numFmtId="166" fontId="10" fillId="10" borderId="1" xfId="0" applyNumberFormat="1" applyFont="1" applyFill="1" applyBorder="1" applyAlignment="1" applyProtection="1">
      <alignment horizontal="center" vertical="center"/>
      <protection locked="0"/>
    </xf>
    <xf numFmtId="164" fontId="6" fillId="8" borderId="2" xfId="0" applyNumberFormat="1" applyFont="1" applyFill="1" applyBorder="1" applyAlignment="1">
      <alignment horizontal="center" vertical="center"/>
    </xf>
    <xf numFmtId="164" fontId="6" fillId="9" borderId="2" xfId="0" applyNumberFormat="1" applyFont="1" applyFill="1" applyBorder="1" applyAlignment="1">
      <alignment horizontal="center" vertical="center"/>
    </xf>
    <xf numFmtId="0" fontId="6" fillId="4" borderId="6" xfId="0" applyFont="1" applyFill="1" applyBorder="1" applyAlignment="1">
      <alignment vertical="center"/>
    </xf>
    <xf numFmtId="0" fontId="6" fillId="4" borderId="14" xfId="0" applyFont="1" applyFill="1" applyBorder="1" applyAlignment="1">
      <alignment vertical="center"/>
    </xf>
    <xf numFmtId="0" fontId="6" fillId="4" borderId="13" xfId="0" applyFont="1" applyFill="1" applyBorder="1" applyAlignment="1">
      <alignment vertical="center"/>
    </xf>
    <xf numFmtId="0" fontId="16" fillId="7" borderId="0" xfId="0" applyFont="1" applyFill="1" applyBorder="1" applyAlignment="1" applyProtection="1">
      <alignment horizontal="left" vertical="center"/>
      <protection locked="0"/>
    </xf>
    <xf numFmtId="0" fontId="6" fillId="4" borderId="3" xfId="0" applyFont="1" applyFill="1" applyBorder="1" applyAlignment="1">
      <alignment vertical="center"/>
    </xf>
    <xf numFmtId="0" fontId="6" fillId="4" borderId="15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10" fillId="0" borderId="0" xfId="0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>
      <alignment horizontal="left" vertical="center"/>
    </xf>
    <xf numFmtId="0" fontId="6" fillId="0" borderId="0" xfId="4" applyFont="1" applyFill="1" applyBorder="1" applyAlignment="1">
      <alignment horizontal="left" vertical="center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0" fontId="17" fillId="0" borderId="0" xfId="0" applyFont="1" applyFill="1" applyBorder="1" applyAlignment="1" applyProtection="1">
      <alignment horizontal="left" vertical="center"/>
      <protection locked="0"/>
    </xf>
    <xf numFmtId="0" fontId="18" fillId="0" borderId="0" xfId="0" applyFont="1" applyFill="1" applyBorder="1" applyAlignment="1">
      <alignment vertical="center"/>
    </xf>
    <xf numFmtId="0" fontId="19" fillId="0" borderId="0" xfId="0" applyFont="1" applyFill="1" applyBorder="1" applyAlignment="1" applyProtection="1">
      <alignment horizontal="left" vertical="center"/>
      <protection locked="0"/>
    </xf>
    <xf numFmtId="0" fontId="19" fillId="0" borderId="0" xfId="0" applyFont="1" applyFill="1" applyBorder="1" applyAlignment="1">
      <alignment vertical="center"/>
    </xf>
    <xf numFmtId="0" fontId="11" fillId="0" borderId="0" xfId="0" applyFont="1" applyFill="1" applyBorder="1" applyAlignment="1" applyProtection="1">
      <alignment vertical="center"/>
      <protection locked="0"/>
    </xf>
    <xf numFmtId="0" fontId="21" fillId="0" borderId="0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10" fontId="21" fillId="0" borderId="0" xfId="0" applyNumberFormat="1" applyFont="1" applyFill="1" applyBorder="1" applyAlignment="1">
      <alignment horizontal="left" vertical="center"/>
    </xf>
    <xf numFmtId="165" fontId="21" fillId="0" borderId="0" xfId="0" applyNumberFormat="1" applyFont="1" applyFill="1" applyBorder="1" applyAlignment="1">
      <alignment horizontal="left" vertical="center"/>
    </xf>
    <xf numFmtId="8" fontId="21" fillId="0" borderId="0" xfId="0" applyNumberFormat="1" applyFont="1" applyFill="1" applyBorder="1" applyAlignment="1">
      <alignment horizontal="left" vertical="center"/>
    </xf>
    <xf numFmtId="0" fontId="24" fillId="0" borderId="0" xfId="0" applyFont="1" applyFill="1" applyBorder="1" applyAlignment="1">
      <alignment vertical="center"/>
    </xf>
    <xf numFmtId="0" fontId="25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10" fontId="25" fillId="0" borderId="0" xfId="0" applyNumberFormat="1" applyFont="1" applyFill="1" applyBorder="1" applyAlignment="1">
      <alignment horizontal="left" vertical="center"/>
    </xf>
    <xf numFmtId="165" fontId="25" fillId="0" borderId="0" xfId="0" applyNumberFormat="1" applyFont="1" applyFill="1" applyBorder="1" applyAlignment="1">
      <alignment horizontal="left" vertical="center"/>
    </xf>
    <xf numFmtId="8" fontId="25" fillId="0" borderId="0" xfId="0" applyNumberFormat="1" applyFont="1" applyFill="1" applyBorder="1" applyAlignment="1">
      <alignment horizontal="left" vertical="center"/>
    </xf>
    <xf numFmtId="0" fontId="27" fillId="0" borderId="0" xfId="0" applyFont="1" applyFill="1" applyBorder="1" applyAlignment="1">
      <alignment vertical="center"/>
    </xf>
    <xf numFmtId="166" fontId="6" fillId="0" borderId="0" xfId="0" applyNumberFormat="1" applyFont="1" applyFill="1" applyBorder="1" applyAlignment="1">
      <alignment vertical="center"/>
    </xf>
    <xf numFmtId="0" fontId="20" fillId="4" borderId="0" xfId="0" applyFont="1" applyFill="1" applyBorder="1" applyAlignment="1" applyProtection="1">
      <alignment horizontal="center" vertical="center"/>
      <protection locked="0"/>
    </xf>
    <xf numFmtId="164" fontId="4" fillId="4" borderId="0" xfId="0" applyNumberFormat="1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Alignment="1" applyProtection="1">
      <alignment vertical="center"/>
      <protection locked="0"/>
    </xf>
    <xf numFmtId="0" fontId="28" fillId="4" borderId="0" xfId="0" applyFont="1" applyFill="1" applyBorder="1" applyAlignment="1" applyProtection="1">
      <alignment vertical="center"/>
      <protection locked="0"/>
    </xf>
    <xf numFmtId="0" fontId="22" fillId="4" borderId="0" xfId="0" applyFont="1" applyFill="1" applyBorder="1" applyAlignment="1" applyProtection="1">
      <alignment horizontal="center" vertical="center"/>
      <protection locked="0"/>
    </xf>
    <xf numFmtId="0" fontId="30" fillId="4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30" fillId="0" borderId="0" xfId="0" applyFont="1" applyFill="1" applyBorder="1" applyAlignment="1">
      <alignment horizontal="center" vertical="center"/>
    </xf>
    <xf numFmtId="10" fontId="4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>
      <alignment horizontal="left" vertical="center"/>
    </xf>
    <xf numFmtId="10" fontId="6" fillId="0" borderId="0" xfId="0" applyNumberFormat="1" applyFont="1" applyFill="1" applyBorder="1" applyAlignment="1">
      <alignment horizontal="left" vertical="center"/>
    </xf>
    <xf numFmtId="0" fontId="6" fillId="4" borderId="19" xfId="0" applyFont="1" applyFill="1" applyBorder="1" applyAlignment="1" applyProtection="1">
      <alignment horizontal="left" vertical="center"/>
      <protection locked="0"/>
    </xf>
    <xf numFmtId="0" fontId="0" fillId="0" borderId="20" xfId="0" applyBorder="1" applyAlignment="1"/>
    <xf numFmtId="0" fontId="0" fillId="0" borderId="21" xfId="0" applyBorder="1" applyAlignment="1"/>
    <xf numFmtId="0" fontId="10" fillId="9" borderId="10" xfId="0" applyFont="1" applyFill="1" applyBorder="1" applyAlignment="1" applyProtection="1">
      <alignment horizontal="center" vertical="center"/>
      <protection locked="0"/>
    </xf>
    <xf numFmtId="0" fontId="6" fillId="9" borderId="11" xfId="0" applyFont="1" applyFill="1" applyBorder="1" applyAlignment="1">
      <alignment horizontal="center" vertical="center"/>
    </xf>
    <xf numFmtId="0" fontId="6" fillId="9" borderId="12" xfId="0" applyFont="1" applyFill="1" applyBorder="1" applyAlignment="1">
      <alignment horizontal="center" vertical="center"/>
    </xf>
    <xf numFmtId="0" fontId="28" fillId="4" borderId="0" xfId="0" applyFont="1" applyFill="1" applyBorder="1" applyAlignment="1" applyProtection="1">
      <alignment horizontal="center" vertical="center"/>
      <protection locked="0"/>
    </xf>
    <xf numFmtId="0" fontId="29" fillId="4" borderId="0" xfId="0" applyFont="1" applyFill="1" applyBorder="1" applyAlignment="1">
      <alignment horizontal="center" vertical="center"/>
    </xf>
    <xf numFmtId="0" fontId="10" fillId="6" borderId="10" xfId="0" applyFont="1" applyFill="1" applyBorder="1" applyAlignment="1" applyProtection="1">
      <alignment horizontal="center" vertical="center"/>
      <protection locked="0"/>
    </xf>
    <xf numFmtId="0" fontId="10" fillId="6" borderId="11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0" fontId="6" fillId="4" borderId="22" xfId="0" applyFont="1" applyFill="1" applyBorder="1" applyAlignment="1" applyProtection="1">
      <alignment horizontal="left" vertical="center"/>
      <protection locked="0"/>
    </xf>
    <xf numFmtId="0" fontId="0" fillId="0" borderId="4" xfId="0" applyBorder="1" applyAlignment="1"/>
    <xf numFmtId="0" fontId="0" fillId="0" borderId="23" xfId="0" applyBorder="1" applyAlignment="1"/>
    <xf numFmtId="0" fontId="6" fillId="4" borderId="29" xfId="0" applyFont="1" applyFill="1" applyBorder="1" applyAlignment="1" applyProtection="1">
      <alignment horizontal="left" vertical="center"/>
      <protection locked="0"/>
    </xf>
    <xf numFmtId="0" fontId="0" fillId="0" borderId="28" xfId="0" applyBorder="1" applyAlignment="1"/>
    <xf numFmtId="0" fontId="0" fillId="0" borderId="30" xfId="0" applyBorder="1" applyAlignment="1"/>
    <xf numFmtId="0" fontId="0" fillId="0" borderId="29" xfId="0" applyBorder="1" applyAlignment="1"/>
    <xf numFmtId="0" fontId="0" fillId="0" borderId="29" xfId="0" applyBorder="1" applyAlignment="1">
      <alignment vertical="center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0" fontId="29" fillId="0" borderId="0" xfId="0" applyFont="1" applyFill="1" applyBorder="1" applyAlignment="1">
      <alignment horizontal="center" vertical="center"/>
    </xf>
    <xf numFmtId="0" fontId="31" fillId="4" borderId="0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>
      <alignment horizontal="center" vertical="center"/>
    </xf>
    <xf numFmtId="0" fontId="32" fillId="4" borderId="0" xfId="0" applyFont="1" applyFill="1" applyBorder="1" applyAlignment="1">
      <alignment horizontal="center" vertical="center"/>
    </xf>
    <xf numFmtId="10" fontId="11" fillId="4" borderId="0" xfId="0" applyNumberFormat="1" applyFont="1" applyFill="1" applyBorder="1" applyAlignment="1" applyProtection="1">
      <alignment horizontal="center" vertical="center"/>
      <protection locked="0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8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CC00"/>
      </font>
    </dxf>
    <dxf>
      <font>
        <color rgb="FF00CC00"/>
      </font>
    </dxf>
    <dxf>
      <font>
        <color rgb="FF00CC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numFmt numFmtId="170" formatCode=";;;"/>
    </dxf>
  </dxfs>
  <tableStyles count="0" defaultTableStyle="TableStyleMedium9" defaultPivotStyle="PivotStyleLight16"/>
  <colors>
    <mruColors>
      <color rgb="FF00CC00"/>
      <color rgb="FFFFFFCC"/>
      <color rgb="FFFAFEC6"/>
      <color rgb="FFFF9966"/>
      <color rgb="FFC2D69A"/>
      <color rgb="FFFF99FF"/>
      <color rgb="FFFFFF66"/>
      <color rgb="FFE63A5F"/>
      <color rgb="FFFF33C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C00000"/>
  </sheetPr>
  <dimension ref="A1:BU639"/>
  <sheetViews>
    <sheetView showZeros="0" tabSelected="1" topLeftCell="A4" zoomScale="80" zoomScaleNormal="80" zoomScaleSheetLayoutView="100" workbookViewId="0">
      <selection activeCell="AJ20" sqref="AJ20"/>
    </sheetView>
  </sheetViews>
  <sheetFormatPr baseColWidth="10" defaultRowHeight="20.100000000000001" customHeight="1" x14ac:dyDescent="0.25"/>
  <cols>
    <col min="1" max="1" width="3.5703125" style="8" customWidth="1"/>
    <col min="2" max="2" width="20.7109375" style="8" customWidth="1"/>
    <col min="3" max="3" width="1.7109375" style="5" customWidth="1"/>
    <col min="4" max="4" width="13.7109375" style="8" customWidth="1"/>
    <col min="5" max="5" width="1.7109375" style="8" customWidth="1"/>
    <col min="6" max="6" width="13.7109375" style="8" customWidth="1"/>
    <col min="7" max="7" width="1.7109375" style="5" customWidth="1"/>
    <col min="8" max="8" width="13.7109375" style="8" customWidth="1"/>
    <col min="9" max="9" width="1.7109375" style="8" customWidth="1"/>
    <col min="10" max="10" width="13.7109375" style="8" customWidth="1"/>
    <col min="11" max="11" width="1.7109375" style="5" customWidth="1"/>
    <col min="12" max="12" width="13.7109375" style="8" customWidth="1"/>
    <col min="13" max="13" width="1.7109375" style="8" customWidth="1"/>
    <col min="14" max="14" width="13.7109375" style="8" customWidth="1"/>
    <col min="15" max="15" width="5.28515625" style="5" customWidth="1"/>
    <col min="16" max="16" width="19.140625" style="8" customWidth="1"/>
    <col min="17" max="17" width="1.7109375" style="6" customWidth="1"/>
    <col min="18" max="18" width="15.42578125" style="8" customWidth="1"/>
    <col min="19" max="19" width="1.7109375" style="5" customWidth="1"/>
    <col min="20" max="20" width="13.28515625" style="8" customWidth="1"/>
    <col min="21" max="21" width="1.7109375" style="5" customWidth="1"/>
    <col min="22" max="22" width="15.7109375" style="8" customWidth="1"/>
    <col min="23" max="23" width="1.7109375" style="5" customWidth="1"/>
    <col min="24" max="24" width="13.28515625" style="8" customWidth="1"/>
    <col min="25" max="25" width="1.7109375" style="8" customWidth="1"/>
    <col min="26" max="26" width="13.28515625" style="8" customWidth="1"/>
    <col min="27" max="27" width="1.7109375" style="8" customWidth="1"/>
    <col min="28" max="28" width="13.28515625" style="8" customWidth="1"/>
    <col min="29" max="29" width="1.7109375" style="7" customWidth="1"/>
    <col min="30" max="30" width="13.28515625" style="7" customWidth="1"/>
    <col min="31" max="31" width="1.7109375" style="7" customWidth="1"/>
    <col min="32" max="32" width="0.85546875" style="5" customWidth="1"/>
    <col min="33" max="65" width="15.7109375" style="8" customWidth="1"/>
    <col min="66" max="16384" width="11.42578125" style="8"/>
  </cols>
  <sheetData>
    <row r="1" spans="1:73" s="4" customFormat="1" ht="20.100000000000001" customHeight="1" x14ac:dyDescent="0.25">
      <c r="A1" s="3"/>
      <c r="P1" s="5"/>
      <c r="Q1" s="6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7"/>
      <c r="AD1" s="7"/>
      <c r="AE1" s="7"/>
      <c r="AF1" s="5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</row>
    <row r="2" spans="1:73" ht="30" customHeight="1" x14ac:dyDescent="0.25">
      <c r="B2" s="229" t="s">
        <v>68</v>
      </c>
      <c r="C2" s="9"/>
      <c r="D2" s="10"/>
      <c r="E2" s="11"/>
      <c r="F2" s="11"/>
      <c r="G2" s="11"/>
      <c r="H2" s="11"/>
      <c r="I2" s="9"/>
      <c r="J2" s="10"/>
      <c r="K2" s="11"/>
      <c r="L2" s="11"/>
      <c r="M2" s="11"/>
      <c r="N2" s="11"/>
      <c r="O2" s="9"/>
      <c r="P2" s="5"/>
      <c r="R2" s="5"/>
      <c r="T2" s="5"/>
      <c r="V2" s="5"/>
      <c r="X2" s="5"/>
      <c r="Y2" s="5"/>
      <c r="Z2" s="5"/>
      <c r="AA2" s="5"/>
      <c r="AB2" s="5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5"/>
    </row>
    <row r="3" spans="1:73" ht="20.100000000000001" customHeight="1" x14ac:dyDescent="0.25">
      <c r="B3" s="12"/>
      <c r="D3" s="5"/>
      <c r="E3" s="7"/>
      <c r="F3" s="5"/>
      <c r="G3" s="7"/>
      <c r="H3" s="7"/>
      <c r="I3" s="7"/>
      <c r="J3" s="7"/>
      <c r="K3" s="7"/>
      <c r="L3" s="7"/>
      <c r="M3" s="7"/>
      <c r="N3" s="7"/>
      <c r="O3" s="7"/>
      <c r="P3" s="5"/>
      <c r="R3" s="5"/>
      <c r="T3" s="5"/>
      <c r="V3" s="5"/>
      <c r="X3" s="5"/>
      <c r="Y3" s="5"/>
      <c r="Z3" s="5"/>
      <c r="AA3" s="5"/>
      <c r="AB3" s="5"/>
      <c r="AF3" s="4"/>
      <c r="AG3" s="279" t="s">
        <v>127</v>
      </c>
      <c r="AH3" s="280"/>
      <c r="AI3" s="280"/>
      <c r="AJ3" s="280"/>
      <c r="AK3" s="280"/>
      <c r="AL3" s="264"/>
      <c r="AM3" s="294" t="s">
        <v>52</v>
      </c>
      <c r="AN3" s="295"/>
      <c r="AO3" s="295"/>
      <c r="AP3" s="295"/>
      <c r="AQ3" s="295"/>
      <c r="AR3" s="295"/>
      <c r="AS3" s="5"/>
    </row>
    <row r="4" spans="1:73" ht="30" customHeight="1" x14ac:dyDescent="0.25">
      <c r="B4" s="113" t="s">
        <v>84</v>
      </c>
      <c r="C4" s="13"/>
      <c r="D4" s="276" t="s">
        <v>22</v>
      </c>
      <c r="E4" s="277"/>
      <c r="F4" s="278"/>
      <c r="G4" s="14"/>
      <c r="H4" s="276" t="s">
        <v>23</v>
      </c>
      <c r="I4" s="277"/>
      <c r="J4" s="278"/>
      <c r="K4" s="14"/>
      <c r="L4" s="276" t="s">
        <v>83</v>
      </c>
      <c r="M4" s="277"/>
      <c r="N4" s="278"/>
      <c r="O4" s="14"/>
      <c r="P4" s="114" t="s">
        <v>55</v>
      </c>
      <c r="Q4" s="5"/>
      <c r="R4" s="115" t="s">
        <v>38</v>
      </c>
      <c r="T4" s="5"/>
      <c r="V4" s="281" t="s">
        <v>32</v>
      </c>
      <c r="W4" s="282"/>
      <c r="X4" s="283"/>
      <c r="Z4" s="115" t="s">
        <v>38</v>
      </c>
      <c r="AB4" s="5"/>
      <c r="AF4" s="8"/>
      <c r="AG4" s="265" t="s">
        <v>142</v>
      </c>
      <c r="AH4" s="50" t="s">
        <v>124</v>
      </c>
      <c r="AI4" s="50" t="s">
        <v>125</v>
      </c>
      <c r="AJ4" s="50" t="s">
        <v>126</v>
      </c>
      <c r="AK4" s="50" t="s">
        <v>94</v>
      </c>
      <c r="AL4" s="20"/>
      <c r="AM4" s="261" t="s">
        <v>128</v>
      </c>
      <c r="AN4" s="78" t="s">
        <v>129</v>
      </c>
      <c r="AO4" s="78" t="s">
        <v>130</v>
      </c>
      <c r="AP4" s="78" t="s">
        <v>131</v>
      </c>
      <c r="AQ4" s="78" t="s">
        <v>132</v>
      </c>
      <c r="AR4" s="78" t="s">
        <v>94</v>
      </c>
      <c r="AS4" s="5"/>
    </row>
    <row r="5" spans="1:73" ht="9.9499999999999993" customHeight="1" x14ac:dyDescent="0.25">
      <c r="B5" s="15"/>
      <c r="C5" s="13"/>
      <c r="D5" s="16"/>
      <c r="E5" s="17"/>
      <c r="F5" s="17"/>
      <c r="G5" s="14"/>
      <c r="H5" s="16"/>
      <c r="I5" s="17"/>
      <c r="J5" s="17"/>
      <c r="K5" s="14"/>
      <c r="L5" s="16"/>
      <c r="M5" s="17"/>
      <c r="N5" s="17"/>
      <c r="O5" s="14"/>
      <c r="Q5" s="5"/>
      <c r="T5" s="5"/>
      <c r="V5" s="5"/>
      <c r="X5" s="5"/>
      <c r="Y5" s="5"/>
      <c r="Z5" s="5"/>
      <c r="AA5" s="5"/>
      <c r="AB5" s="5"/>
      <c r="AF5" s="8"/>
      <c r="AG5" s="20"/>
      <c r="AH5" s="20"/>
      <c r="AI5" s="20"/>
      <c r="AJ5" s="20"/>
      <c r="AK5" s="20"/>
      <c r="AL5" s="20"/>
      <c r="AM5" s="71"/>
      <c r="AN5" s="71"/>
      <c r="AO5" s="71"/>
      <c r="AP5" s="71"/>
      <c r="AQ5" s="71"/>
      <c r="AR5" s="71"/>
      <c r="AS5" s="5"/>
    </row>
    <row r="6" spans="1:73" ht="20.100000000000001" customHeight="1" x14ac:dyDescent="0.25">
      <c r="B6" s="110" t="s">
        <v>6</v>
      </c>
      <c r="C6" s="13"/>
      <c r="D6" s="273"/>
      <c r="E6" s="274"/>
      <c r="F6" s="275"/>
      <c r="G6" s="14"/>
      <c r="H6" s="273"/>
      <c r="I6" s="274"/>
      <c r="J6" s="275"/>
      <c r="K6" s="14"/>
      <c r="L6" s="10"/>
      <c r="M6" s="10"/>
      <c r="N6" s="10"/>
      <c r="O6" s="14"/>
      <c r="P6" s="117" t="s">
        <v>56</v>
      </c>
      <c r="Q6" s="13"/>
      <c r="R6" s="120"/>
      <c r="T6" s="5"/>
      <c r="V6" s="176" t="s">
        <v>44</v>
      </c>
      <c r="W6" s="226"/>
      <c r="X6" s="123"/>
      <c r="Y6" s="5"/>
      <c r="Z6" s="125"/>
      <c r="AA6" s="5"/>
      <c r="AB6" s="5"/>
      <c r="AE6" s="18"/>
      <c r="AF6" s="8"/>
      <c r="AG6" s="266">
        <v>10</v>
      </c>
      <c r="AH6" s="2">
        <v>4.0899999999999999E-2</v>
      </c>
      <c r="AI6" s="2">
        <v>4.7699999999999999E-2</v>
      </c>
      <c r="AJ6" s="2">
        <v>5.0700000000000002E-2</v>
      </c>
      <c r="AK6" s="2">
        <v>4.9200000000000001E-2</v>
      </c>
      <c r="AL6" s="20"/>
      <c r="AM6" s="296">
        <v>10</v>
      </c>
      <c r="AN6" s="297">
        <v>3.6499999999999998E-2</v>
      </c>
      <c r="AO6" s="297">
        <v>3.7499999999999999E-2</v>
      </c>
      <c r="AP6" s="297">
        <v>3.9600000000000003E-2</v>
      </c>
      <c r="AQ6" s="297">
        <v>4.41E-2</v>
      </c>
      <c r="AR6" s="297">
        <v>4.1399999999999999E-2</v>
      </c>
      <c r="AS6" s="5"/>
    </row>
    <row r="7" spans="1:73" ht="20.100000000000001" customHeight="1" x14ac:dyDescent="0.25">
      <c r="B7" s="111" t="s">
        <v>7</v>
      </c>
      <c r="C7" s="13"/>
      <c r="D7" s="284"/>
      <c r="E7" s="285"/>
      <c r="F7" s="286"/>
      <c r="G7" s="14"/>
      <c r="H7" s="284"/>
      <c r="I7" s="285"/>
      <c r="J7" s="286"/>
      <c r="K7" s="14"/>
      <c r="L7" s="10"/>
      <c r="M7" s="10"/>
      <c r="N7" s="10"/>
      <c r="O7" s="14"/>
      <c r="P7" s="118" t="s">
        <v>57</v>
      </c>
      <c r="Q7" s="7"/>
      <c r="R7" s="121"/>
      <c r="T7" s="5"/>
      <c r="V7" s="151" t="s">
        <v>104</v>
      </c>
      <c r="W7" s="230"/>
      <c r="X7" s="124"/>
      <c r="Y7" s="5"/>
      <c r="Z7" s="126"/>
      <c r="AA7" s="5"/>
      <c r="AB7" s="5"/>
      <c r="AE7" s="18"/>
      <c r="AF7" s="8"/>
      <c r="AG7" s="266">
        <v>15</v>
      </c>
      <c r="AH7" s="2">
        <v>4.2500000000000003E-2</v>
      </c>
      <c r="AI7" s="2">
        <v>4.9200000000000001E-2</v>
      </c>
      <c r="AJ7" s="2">
        <v>5.2200000000000003E-2</v>
      </c>
      <c r="AK7" s="2">
        <v>5.2600000000000001E-2</v>
      </c>
      <c r="AL7" s="20"/>
      <c r="AM7" s="296">
        <v>15</v>
      </c>
      <c r="AN7" s="297">
        <v>3.8300000000000001E-2</v>
      </c>
      <c r="AO7" s="297">
        <v>3.8199999999999998E-2</v>
      </c>
      <c r="AP7" s="297">
        <v>4.07E-2</v>
      </c>
      <c r="AQ7" s="297">
        <v>4.6399999999999997E-2</v>
      </c>
      <c r="AR7" s="297">
        <v>4.3900000000000002E-2</v>
      </c>
      <c r="AS7" s="5"/>
    </row>
    <row r="8" spans="1:73" ht="20.100000000000001" customHeight="1" x14ac:dyDescent="0.25">
      <c r="B8" s="111" t="s">
        <v>24</v>
      </c>
      <c r="C8" s="13"/>
      <c r="D8" s="284"/>
      <c r="E8" s="285"/>
      <c r="F8" s="286"/>
      <c r="G8" s="14"/>
      <c r="H8" s="284"/>
      <c r="I8" s="285"/>
      <c r="J8" s="286"/>
      <c r="K8" s="14"/>
      <c r="L8" s="273"/>
      <c r="M8" s="274"/>
      <c r="N8" s="275"/>
      <c r="O8" s="14"/>
      <c r="P8" s="118" t="s">
        <v>34</v>
      </c>
      <c r="Q8" s="7"/>
      <c r="R8" s="122">
        <f>R7*21%</f>
        <v>0</v>
      </c>
      <c r="T8" s="5"/>
      <c r="V8" s="151" t="s">
        <v>103</v>
      </c>
      <c r="W8" s="230"/>
      <c r="X8" s="124"/>
      <c r="Y8" s="5"/>
      <c r="Z8" s="126"/>
      <c r="AA8" s="5"/>
      <c r="AB8" s="5"/>
      <c r="AE8" s="19"/>
      <c r="AF8" s="8"/>
      <c r="AG8" s="266">
        <v>20</v>
      </c>
      <c r="AH8" s="2">
        <v>4.41E-2</v>
      </c>
      <c r="AI8" s="2">
        <v>5.0799999999999998E-2</v>
      </c>
      <c r="AJ8" s="2">
        <v>5.3800000000000001E-2</v>
      </c>
      <c r="AK8" s="2">
        <v>5.3199999999999997E-2</v>
      </c>
      <c r="AL8" s="20"/>
      <c r="AM8" s="296">
        <v>20</v>
      </c>
      <c r="AN8" s="297">
        <v>4.0500000000000001E-2</v>
      </c>
      <c r="AO8" s="297">
        <v>0.04</v>
      </c>
      <c r="AP8" s="297">
        <v>4.24E-2</v>
      </c>
      <c r="AQ8" s="297">
        <v>4.82E-2</v>
      </c>
      <c r="AR8" s="297">
        <v>4.6800000000000001E-2</v>
      </c>
      <c r="AS8" s="5"/>
    </row>
    <row r="9" spans="1:73" ht="20.100000000000001" customHeight="1" x14ac:dyDescent="0.25">
      <c r="B9" s="111" t="s">
        <v>25</v>
      </c>
      <c r="C9" s="20"/>
      <c r="D9" s="284"/>
      <c r="E9" s="285"/>
      <c r="F9" s="286"/>
      <c r="G9" s="14"/>
      <c r="H9" s="284"/>
      <c r="I9" s="285"/>
      <c r="J9" s="286"/>
      <c r="K9" s="14"/>
      <c r="L9" s="284"/>
      <c r="M9" s="285"/>
      <c r="N9" s="286"/>
      <c r="O9" s="14"/>
      <c r="P9" s="119" t="s">
        <v>58</v>
      </c>
      <c r="Q9" s="7"/>
      <c r="R9" s="121">
        <f>R7+R8</f>
        <v>0</v>
      </c>
      <c r="T9" s="5"/>
      <c r="V9" s="151" t="s">
        <v>18</v>
      </c>
      <c r="W9" s="230"/>
      <c r="X9" s="124"/>
      <c r="Y9" s="5"/>
      <c r="Z9" s="127">
        <f>Z7*Z8*3/12</f>
        <v>0</v>
      </c>
      <c r="AA9" s="5"/>
      <c r="AB9" s="5"/>
      <c r="AE9" s="21"/>
      <c r="AF9" s="8"/>
      <c r="AG9" s="266">
        <v>25</v>
      </c>
      <c r="AH9" s="2">
        <v>4.5100000000000001E-2</v>
      </c>
      <c r="AI9" s="2">
        <v>5.1799999999999999E-2</v>
      </c>
      <c r="AJ9" s="2">
        <v>5.4899999999999997E-2</v>
      </c>
      <c r="AK9" s="2">
        <v>5.4199999999999998E-2</v>
      </c>
      <c r="AL9" s="20"/>
      <c r="AM9" s="296">
        <v>25</v>
      </c>
      <c r="AN9" s="297">
        <v>4.1700000000000001E-2</v>
      </c>
      <c r="AO9" s="297">
        <v>4.1399999999999999E-2</v>
      </c>
      <c r="AP9" s="297">
        <v>4.3700000000000003E-2</v>
      </c>
      <c r="AQ9" s="71"/>
      <c r="AR9" s="297">
        <v>4.8599999999999997E-2</v>
      </c>
      <c r="AS9" s="5"/>
    </row>
    <row r="10" spans="1:73" ht="20.100000000000001" customHeight="1" x14ac:dyDescent="0.25">
      <c r="B10" s="111" t="s">
        <v>26</v>
      </c>
      <c r="C10" s="13"/>
      <c r="D10" s="284"/>
      <c r="E10" s="285"/>
      <c r="F10" s="286"/>
      <c r="G10" s="14"/>
      <c r="H10" s="284"/>
      <c r="I10" s="285"/>
      <c r="J10" s="286"/>
      <c r="K10" s="14"/>
      <c r="L10" s="284"/>
      <c r="M10" s="285"/>
      <c r="N10" s="286"/>
      <c r="O10" s="14"/>
      <c r="P10" s="128" t="s">
        <v>0</v>
      </c>
      <c r="Q10" s="7"/>
      <c r="R10" s="129"/>
      <c r="T10" s="5"/>
      <c r="V10" s="151" t="s">
        <v>102</v>
      </c>
      <c r="W10" s="230"/>
      <c r="X10" s="124"/>
      <c r="Y10" s="5"/>
      <c r="Z10" s="130" t="str">
        <f>IF(Z6="","",CHOOSE(MATCH(Z6,AD$69:AD$85,1),AE71,AE72,AE73,AE74,AE75,AE76,AE77,AE78,AE79,AE80,AE81,AE82,AE83,AE84,AE85,AE86))</f>
        <v/>
      </c>
      <c r="AA10" s="5"/>
      <c r="AB10" s="5"/>
      <c r="AE10" s="21"/>
      <c r="AG10" s="20"/>
      <c r="AH10" s="20"/>
      <c r="AI10" s="20"/>
      <c r="AJ10" s="20"/>
      <c r="AK10" s="20"/>
      <c r="AL10" s="20"/>
      <c r="AM10" s="296">
        <v>30</v>
      </c>
      <c r="AN10" s="71"/>
      <c r="AO10" s="71"/>
      <c r="AP10" s="71"/>
      <c r="AQ10" s="71"/>
      <c r="AR10" s="297">
        <v>5.1200000000000002E-2</v>
      </c>
      <c r="AS10" s="5"/>
    </row>
    <row r="11" spans="1:73" ht="20.100000000000001" customHeight="1" x14ac:dyDescent="0.25">
      <c r="B11" s="112" t="s">
        <v>27</v>
      </c>
      <c r="C11" s="13"/>
      <c r="D11" s="291"/>
      <c r="E11" s="288"/>
      <c r="F11" s="289"/>
      <c r="G11" s="14"/>
      <c r="H11" s="290"/>
      <c r="I11" s="288"/>
      <c r="J11" s="289"/>
      <c r="K11" s="14"/>
      <c r="L11" s="287"/>
      <c r="M11" s="288"/>
      <c r="N11" s="289"/>
      <c r="O11" s="22"/>
      <c r="P11" s="131" t="s">
        <v>59</v>
      </c>
      <c r="Q11" s="7"/>
      <c r="R11" s="132">
        <f>R6+R9-R10</f>
        <v>0</v>
      </c>
      <c r="V11" s="228" t="s">
        <v>19</v>
      </c>
      <c r="W11" s="227"/>
      <c r="X11" s="231"/>
      <c r="Y11" s="5"/>
      <c r="Z11" s="132">
        <f>SUM(Z7:Z10)</f>
        <v>0</v>
      </c>
      <c r="AA11" s="5"/>
      <c r="AB11" s="5"/>
      <c r="AE11" s="21"/>
      <c r="AF11" s="21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5"/>
    </row>
    <row r="12" spans="1:73" ht="20.100000000000001" customHeight="1" thickBot="1" x14ac:dyDescent="0.3">
      <c r="B12" s="7"/>
      <c r="C12" s="13"/>
      <c r="D12" s="10"/>
      <c r="E12" s="23"/>
      <c r="F12" s="23"/>
      <c r="G12" s="22"/>
      <c r="H12" s="10"/>
      <c r="I12" s="23"/>
      <c r="J12" s="23"/>
      <c r="K12" s="22"/>
      <c r="L12" s="10"/>
      <c r="M12" s="10"/>
      <c r="N12" s="10"/>
      <c r="O12" s="14"/>
      <c r="Q12" s="5"/>
      <c r="T12" s="5"/>
      <c r="V12" s="24"/>
      <c r="X12" s="5"/>
      <c r="Y12" s="5"/>
      <c r="Z12" s="5"/>
      <c r="AA12" s="5"/>
      <c r="AB12" s="5"/>
      <c r="AF12" s="21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5"/>
    </row>
    <row r="13" spans="1:73" ht="30" customHeight="1" thickBot="1" x14ac:dyDescent="0.3">
      <c r="B13" s="109" t="s">
        <v>42</v>
      </c>
      <c r="C13" s="13"/>
      <c r="D13" s="10"/>
      <c r="E13" s="23"/>
      <c r="F13" s="23"/>
      <c r="G13" s="14"/>
      <c r="H13" s="10"/>
      <c r="I13" s="23"/>
      <c r="J13" s="23"/>
      <c r="K13" s="14"/>
      <c r="L13" s="10"/>
      <c r="M13" s="10"/>
      <c r="N13" s="10"/>
      <c r="O13" s="25"/>
      <c r="P13" s="116" t="s">
        <v>33</v>
      </c>
      <c r="Q13" s="7"/>
      <c r="R13" s="5"/>
      <c r="T13" s="113" t="s">
        <v>36</v>
      </c>
      <c r="V13" s="113" t="s">
        <v>34</v>
      </c>
      <c r="X13" s="113" t="s">
        <v>35</v>
      </c>
      <c r="Y13" s="5"/>
      <c r="Z13" s="5"/>
      <c r="AA13" s="5"/>
      <c r="AB13" s="5"/>
      <c r="AF13" s="21"/>
      <c r="AG13" s="20"/>
      <c r="AH13" s="20"/>
      <c r="AI13" s="20"/>
      <c r="AJ13" s="20"/>
      <c r="AK13" s="20"/>
      <c r="AL13" s="20"/>
      <c r="AM13" s="265"/>
      <c r="AN13" s="50"/>
      <c r="AO13" s="50"/>
      <c r="AP13" s="50"/>
      <c r="AQ13" s="50"/>
      <c r="AR13" s="50"/>
      <c r="AS13" s="5"/>
    </row>
    <row r="14" spans="1:73" ht="9.9499999999999993" customHeight="1" thickBot="1" x14ac:dyDescent="0.3">
      <c r="B14" s="7"/>
      <c r="C14" s="26"/>
      <c r="D14" s="10"/>
      <c r="E14" s="23"/>
      <c r="F14" s="23"/>
      <c r="G14" s="25"/>
      <c r="H14" s="10"/>
      <c r="I14" s="23"/>
      <c r="J14" s="23"/>
      <c r="K14" s="25"/>
      <c r="L14" s="10"/>
      <c r="M14" s="10"/>
      <c r="N14" s="10"/>
      <c r="O14" s="14"/>
      <c r="P14" s="27"/>
      <c r="Q14" s="7"/>
      <c r="T14" s="28"/>
      <c r="Y14" s="5"/>
      <c r="Z14" s="5"/>
      <c r="AA14" s="5"/>
      <c r="AB14" s="5"/>
      <c r="AF14" s="14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5"/>
    </row>
    <row r="15" spans="1:73" ht="20.100000000000001" customHeight="1" thickBot="1" x14ac:dyDescent="0.3">
      <c r="B15" s="106" t="s">
        <v>41</v>
      </c>
      <c r="C15" s="26"/>
      <c r="D15" s="105" t="s">
        <v>48</v>
      </c>
      <c r="E15" s="26"/>
      <c r="F15" s="107" t="s">
        <v>28</v>
      </c>
      <c r="G15" s="14"/>
      <c r="H15" s="108" t="s">
        <v>29</v>
      </c>
      <c r="I15" s="29"/>
      <c r="J15" s="104" t="s">
        <v>45</v>
      </c>
      <c r="K15" s="14"/>
      <c r="L15" s="104" t="s">
        <v>39</v>
      </c>
      <c r="M15" s="29"/>
      <c r="N15" s="104" t="s">
        <v>40</v>
      </c>
      <c r="O15" s="14"/>
      <c r="P15" s="148" t="s">
        <v>69</v>
      </c>
      <c r="Q15" s="149"/>
      <c r="R15" s="150"/>
      <c r="T15" s="120"/>
      <c r="V15" s="160">
        <f t="shared" ref="V15:V21" si="0">T15*21%</f>
        <v>0</v>
      </c>
      <c r="X15" s="163">
        <f t="shared" ref="X15:X21" si="1">T15+V15</f>
        <v>0</v>
      </c>
      <c r="Y15" s="5"/>
      <c r="Z15" s="30"/>
      <c r="AA15" s="5"/>
      <c r="AB15" s="5"/>
      <c r="AF15" s="14"/>
      <c r="AG15" s="7"/>
      <c r="AH15" s="7"/>
      <c r="AI15" s="7"/>
      <c r="AJ15" s="7"/>
      <c r="AK15" s="7"/>
      <c r="AL15" s="7"/>
      <c r="AM15" s="1"/>
      <c r="AN15" s="2"/>
      <c r="AO15" s="2"/>
      <c r="AP15" s="2"/>
      <c r="AQ15" s="2"/>
      <c r="AR15" s="2"/>
      <c r="AS15" s="5"/>
    </row>
    <row r="16" spans="1:73" ht="20.100000000000001" customHeight="1" x14ac:dyDescent="0.25">
      <c r="B16" s="31"/>
      <c r="C16" s="26"/>
      <c r="D16" s="32"/>
      <c r="E16" s="14"/>
      <c r="F16" s="33"/>
      <c r="G16" s="14"/>
      <c r="H16" s="29"/>
      <c r="I16" s="14"/>
      <c r="J16" s="29"/>
      <c r="K16" s="14"/>
      <c r="L16" s="14"/>
      <c r="M16" s="14"/>
      <c r="N16" s="14"/>
      <c r="O16" s="14"/>
      <c r="P16" s="151" t="s">
        <v>77</v>
      </c>
      <c r="Q16" s="34"/>
      <c r="R16" s="152"/>
      <c r="S16" s="7"/>
      <c r="T16" s="158"/>
      <c r="V16" s="161">
        <f t="shared" si="0"/>
        <v>0</v>
      </c>
      <c r="X16" s="164">
        <f t="shared" si="1"/>
        <v>0</v>
      </c>
      <c r="Y16" s="5"/>
      <c r="Z16" s="5"/>
      <c r="AA16" s="5"/>
      <c r="AB16" s="5"/>
      <c r="AF16" s="14"/>
      <c r="AG16" s="7"/>
      <c r="AH16" s="7"/>
      <c r="AI16" s="7"/>
      <c r="AJ16" s="7"/>
      <c r="AK16" s="7"/>
      <c r="AL16" s="7"/>
      <c r="AM16" s="1"/>
      <c r="AN16" s="2"/>
      <c r="AO16" s="2"/>
      <c r="AP16" s="2"/>
      <c r="AQ16" s="2"/>
      <c r="AR16" s="2"/>
      <c r="AS16" s="5"/>
    </row>
    <row r="17" spans="2:45" ht="20.100000000000001" customHeight="1" x14ac:dyDescent="0.25">
      <c r="B17" s="133"/>
      <c r="C17" s="26"/>
      <c r="D17" s="120"/>
      <c r="E17" s="14"/>
      <c r="F17" s="137"/>
      <c r="G17" s="14"/>
      <c r="H17" s="141"/>
      <c r="I17" s="14"/>
      <c r="J17" s="120"/>
      <c r="K17" s="14"/>
      <c r="L17" s="145"/>
      <c r="M17" s="14"/>
      <c r="N17" s="120"/>
      <c r="O17" s="14"/>
      <c r="P17" s="151" t="s">
        <v>70</v>
      </c>
      <c r="Q17" s="34"/>
      <c r="R17" s="152"/>
      <c r="T17" s="158"/>
      <c r="V17" s="161">
        <f t="shared" si="0"/>
        <v>0</v>
      </c>
      <c r="X17" s="164">
        <f t="shared" si="1"/>
        <v>0</v>
      </c>
      <c r="Y17" s="5"/>
      <c r="Z17" s="5"/>
      <c r="AA17" s="5"/>
      <c r="AB17" s="5"/>
      <c r="AF17" s="14"/>
      <c r="AG17" s="7"/>
      <c r="AH17" s="7"/>
      <c r="AI17" s="7"/>
      <c r="AJ17" s="7"/>
      <c r="AK17" s="7"/>
      <c r="AL17" s="7"/>
      <c r="AM17" s="1"/>
      <c r="AN17" s="2"/>
      <c r="AO17" s="2"/>
      <c r="AP17" s="2"/>
      <c r="AQ17" s="2"/>
      <c r="AR17" s="2"/>
      <c r="AS17" s="5"/>
    </row>
    <row r="18" spans="2:45" ht="20.100000000000001" customHeight="1" x14ac:dyDescent="0.25">
      <c r="B18" s="134"/>
      <c r="C18" s="26"/>
      <c r="D18" s="121"/>
      <c r="E18" s="14"/>
      <c r="F18" s="138"/>
      <c r="G18" s="14"/>
      <c r="H18" s="142"/>
      <c r="I18" s="14"/>
      <c r="J18" s="121"/>
      <c r="K18" s="14"/>
      <c r="L18" s="146"/>
      <c r="M18" s="14"/>
      <c r="N18" s="121"/>
      <c r="O18" s="14"/>
      <c r="P18" s="151" t="s">
        <v>37</v>
      </c>
      <c r="Q18" s="34"/>
      <c r="R18" s="152"/>
      <c r="T18" s="158"/>
      <c r="V18" s="161">
        <f t="shared" si="0"/>
        <v>0</v>
      </c>
      <c r="X18" s="164">
        <f t="shared" si="1"/>
        <v>0</v>
      </c>
      <c r="Y18" s="5"/>
      <c r="Z18" s="5"/>
      <c r="AA18" s="5"/>
      <c r="AB18" s="5"/>
      <c r="AF18" s="14"/>
      <c r="AG18" s="7"/>
      <c r="AH18" s="7"/>
      <c r="AI18" s="7"/>
      <c r="AJ18" s="7"/>
      <c r="AK18" s="7"/>
      <c r="AL18" s="7"/>
      <c r="AM18" s="1"/>
      <c r="AN18" s="2"/>
      <c r="AO18" s="2"/>
      <c r="AP18" s="2"/>
      <c r="AQ18" s="7"/>
      <c r="AR18" s="2"/>
      <c r="AS18" s="5"/>
    </row>
    <row r="19" spans="2:45" ht="20.100000000000001" customHeight="1" x14ac:dyDescent="0.25">
      <c r="B19" s="134"/>
      <c r="C19" s="26"/>
      <c r="D19" s="121"/>
      <c r="E19" s="14"/>
      <c r="F19" s="138"/>
      <c r="G19" s="14"/>
      <c r="H19" s="142"/>
      <c r="I19" s="14"/>
      <c r="J19" s="121"/>
      <c r="K19" s="14"/>
      <c r="L19" s="146"/>
      <c r="M19" s="14"/>
      <c r="N19" s="121"/>
      <c r="O19" s="14"/>
      <c r="P19" s="153" t="s">
        <v>14</v>
      </c>
      <c r="Q19" s="34"/>
      <c r="R19" s="152"/>
      <c r="T19" s="158"/>
      <c r="V19" s="161">
        <f t="shared" si="0"/>
        <v>0</v>
      </c>
      <c r="X19" s="164">
        <f t="shared" si="1"/>
        <v>0</v>
      </c>
      <c r="Y19" s="5"/>
      <c r="Z19" s="5"/>
      <c r="AA19" s="5"/>
      <c r="AB19" s="5"/>
      <c r="AF19" s="14"/>
      <c r="AG19" s="7"/>
      <c r="AH19" s="7"/>
      <c r="AI19" s="7"/>
      <c r="AJ19" s="7"/>
      <c r="AK19" s="7"/>
      <c r="AL19" s="7"/>
      <c r="AM19" s="1"/>
      <c r="AN19" s="7"/>
      <c r="AO19" s="7"/>
      <c r="AP19" s="7"/>
      <c r="AQ19" s="7"/>
      <c r="AR19" s="2"/>
      <c r="AS19" s="5"/>
    </row>
    <row r="20" spans="2:45" ht="20.100000000000001" customHeight="1" x14ac:dyDescent="0.25">
      <c r="B20" s="134"/>
      <c r="C20" s="26"/>
      <c r="D20" s="121"/>
      <c r="E20" s="14"/>
      <c r="F20" s="138"/>
      <c r="G20" s="14"/>
      <c r="H20" s="142"/>
      <c r="I20" s="14"/>
      <c r="J20" s="121"/>
      <c r="K20" s="14"/>
      <c r="L20" s="146"/>
      <c r="M20" s="14"/>
      <c r="N20" s="121"/>
      <c r="O20" s="14"/>
      <c r="P20" s="153" t="s">
        <v>71</v>
      </c>
      <c r="Q20" s="34"/>
      <c r="R20" s="152"/>
      <c r="T20" s="158"/>
      <c r="V20" s="161">
        <f t="shared" si="0"/>
        <v>0</v>
      </c>
      <c r="X20" s="164">
        <f t="shared" si="1"/>
        <v>0</v>
      </c>
      <c r="Y20" s="5"/>
      <c r="Z20" s="5"/>
      <c r="AA20" s="5"/>
      <c r="AB20" s="5"/>
      <c r="AF20" s="14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5"/>
    </row>
    <row r="21" spans="2:45" ht="20.100000000000001" customHeight="1" x14ac:dyDescent="0.25">
      <c r="B21" s="134"/>
      <c r="C21" s="26"/>
      <c r="D21" s="121"/>
      <c r="E21" s="14"/>
      <c r="F21" s="138"/>
      <c r="G21" s="14"/>
      <c r="H21" s="142"/>
      <c r="I21" s="14"/>
      <c r="J21" s="121"/>
      <c r="K21" s="14"/>
      <c r="L21" s="146"/>
      <c r="M21" s="14"/>
      <c r="N21" s="121"/>
      <c r="O21" s="14"/>
      <c r="P21" s="151" t="s">
        <v>72</v>
      </c>
      <c r="Q21" s="34"/>
      <c r="R21" s="152"/>
      <c r="T21" s="158"/>
      <c r="V21" s="162">
        <f t="shared" si="0"/>
        <v>0</v>
      </c>
      <c r="X21" s="164">
        <f t="shared" si="1"/>
        <v>0</v>
      </c>
      <c r="Y21" s="5"/>
      <c r="Z21" s="5"/>
      <c r="AA21" s="5"/>
      <c r="AB21" s="5"/>
      <c r="AF21" s="14"/>
      <c r="AG21" s="7"/>
      <c r="AH21" s="7"/>
      <c r="AI21" s="7"/>
      <c r="AJ21" s="7"/>
      <c r="AK21" s="7"/>
      <c r="AL21" s="7"/>
      <c r="AM21" s="261"/>
      <c r="AN21" s="10"/>
      <c r="AO21" s="10"/>
      <c r="AP21" s="10"/>
      <c r="AQ21" s="10"/>
      <c r="AR21" s="10"/>
      <c r="AS21" s="5"/>
    </row>
    <row r="22" spans="2:45" ht="20.100000000000001" customHeight="1" x14ac:dyDescent="0.25">
      <c r="B22" s="135"/>
      <c r="C22" s="26"/>
      <c r="D22" s="140"/>
      <c r="E22" s="14"/>
      <c r="F22" s="139"/>
      <c r="G22" s="14"/>
      <c r="H22" s="143"/>
      <c r="I22" s="14"/>
      <c r="J22" s="140"/>
      <c r="K22" s="14"/>
      <c r="L22" s="147"/>
      <c r="M22" s="14"/>
      <c r="N22" s="140"/>
      <c r="O22" s="14"/>
      <c r="P22" s="154" t="s">
        <v>73</v>
      </c>
      <c r="Q22" s="34"/>
      <c r="R22" s="152"/>
      <c r="T22" s="158"/>
      <c r="V22" s="35"/>
      <c r="X22" s="165">
        <f>T22</f>
        <v>0</v>
      </c>
      <c r="Y22" s="5"/>
      <c r="Z22" s="5"/>
      <c r="AA22" s="5"/>
      <c r="AB22" s="5"/>
      <c r="AF22" s="14"/>
      <c r="AG22" s="7"/>
      <c r="AH22" s="7"/>
      <c r="AI22" s="7"/>
      <c r="AJ22" s="7"/>
      <c r="AK22" s="7"/>
      <c r="AL22" s="7"/>
      <c r="AM22" s="1"/>
      <c r="AN22" s="75"/>
      <c r="AO22" s="75"/>
      <c r="AP22" s="75"/>
      <c r="AQ22" s="75"/>
      <c r="AR22" s="75"/>
      <c r="AS22" s="5"/>
    </row>
    <row r="23" spans="2:45" ht="20.100000000000001" customHeight="1" x14ac:dyDescent="0.25">
      <c r="B23" s="36"/>
      <c r="C23" s="26"/>
      <c r="D23" s="136">
        <f>SUM(D17:D22)</f>
        <v>0</v>
      </c>
      <c r="E23" s="14"/>
      <c r="F23" s="25"/>
      <c r="G23" s="14"/>
      <c r="H23" s="14"/>
      <c r="I23" s="14"/>
      <c r="J23" s="144">
        <f>SUM(J17:J22)</f>
        <v>0</v>
      </c>
      <c r="K23" s="14"/>
      <c r="L23" s="14"/>
      <c r="M23" s="14"/>
      <c r="N23" s="144">
        <f>SUM(N17:N22)</f>
        <v>0</v>
      </c>
      <c r="O23" s="14"/>
      <c r="P23" s="155" t="s">
        <v>12</v>
      </c>
      <c r="Q23" s="156"/>
      <c r="R23" s="157"/>
      <c r="T23" s="159"/>
      <c r="V23" s="5"/>
      <c r="X23" s="132">
        <f>SUM(X15:X21)-X22</f>
        <v>0</v>
      </c>
      <c r="Y23" s="5"/>
      <c r="Z23" s="5"/>
      <c r="AA23" s="5"/>
      <c r="AB23" s="5"/>
      <c r="AF23" s="14"/>
      <c r="AG23" s="7"/>
      <c r="AH23" s="7"/>
      <c r="AI23" s="7"/>
      <c r="AJ23" s="7"/>
      <c r="AK23" s="7"/>
      <c r="AL23" s="7"/>
      <c r="AM23" s="1"/>
      <c r="AN23" s="75"/>
      <c r="AO23" s="75"/>
      <c r="AP23" s="75"/>
      <c r="AQ23" s="75"/>
      <c r="AR23" s="75"/>
      <c r="AS23" s="5"/>
    </row>
    <row r="24" spans="2:45" ht="20.100000000000001" customHeight="1" x14ac:dyDescent="0.25">
      <c r="B24" s="36"/>
      <c r="C24" s="26"/>
      <c r="D24" s="37"/>
      <c r="E24" s="14"/>
      <c r="F24" s="25"/>
      <c r="G24" s="14"/>
      <c r="H24" s="14"/>
      <c r="I24" s="14"/>
      <c r="J24" s="14"/>
      <c r="K24" s="14"/>
      <c r="L24" s="14"/>
      <c r="M24" s="14"/>
      <c r="N24" s="14"/>
      <c r="O24" s="14"/>
      <c r="P24" s="38"/>
      <c r="Q24" s="39"/>
      <c r="R24" s="40"/>
      <c r="T24" s="5"/>
      <c r="V24" s="41"/>
      <c r="X24" s="5"/>
      <c r="Y24" s="5"/>
      <c r="Z24" s="5"/>
      <c r="AA24" s="5"/>
      <c r="AB24" s="5"/>
      <c r="AF24" s="14"/>
      <c r="AG24" s="7"/>
      <c r="AH24" s="7"/>
      <c r="AI24" s="7"/>
      <c r="AJ24" s="7"/>
      <c r="AK24" s="7"/>
      <c r="AL24" s="7"/>
      <c r="AM24" s="1"/>
      <c r="AN24" s="75"/>
      <c r="AO24" s="75"/>
      <c r="AP24" s="75"/>
      <c r="AQ24" s="75"/>
      <c r="AR24" s="75"/>
      <c r="AS24" s="5"/>
    </row>
    <row r="25" spans="2:45" ht="20.100000000000001" customHeight="1" x14ac:dyDescent="0.25">
      <c r="B25" s="36"/>
      <c r="C25" s="26"/>
      <c r="D25" s="37"/>
      <c r="E25" s="14"/>
      <c r="F25" s="25"/>
      <c r="G25" s="14"/>
      <c r="H25" s="14"/>
      <c r="I25" s="14"/>
      <c r="J25" s="14"/>
      <c r="K25" s="14"/>
      <c r="L25" s="14"/>
      <c r="M25" s="14"/>
      <c r="N25" s="14"/>
      <c r="O25" s="14"/>
      <c r="P25" s="42"/>
      <c r="Q25" s="39"/>
      <c r="R25" s="19"/>
      <c r="T25" s="5"/>
      <c r="V25" s="41"/>
      <c r="X25" s="5"/>
      <c r="Y25" s="5"/>
      <c r="Z25" s="5"/>
      <c r="AA25" s="5"/>
      <c r="AB25" s="5"/>
      <c r="AF25" s="14"/>
      <c r="AG25" s="7"/>
      <c r="AH25" s="7"/>
      <c r="AI25" s="7"/>
      <c r="AJ25" s="7"/>
      <c r="AK25" s="7"/>
      <c r="AL25" s="7"/>
      <c r="AM25" s="1"/>
      <c r="AN25" s="75"/>
      <c r="AO25" s="75"/>
      <c r="AP25" s="75"/>
      <c r="AQ25" s="10"/>
      <c r="AR25" s="75"/>
      <c r="AS25" s="5"/>
    </row>
    <row r="26" spans="2:45" ht="20.100000000000001" customHeight="1" x14ac:dyDescent="0.25">
      <c r="B26" s="219" t="s">
        <v>4</v>
      </c>
      <c r="C26" s="26"/>
      <c r="D26" s="5"/>
      <c r="F26" s="220" t="s">
        <v>97</v>
      </c>
      <c r="G26" s="221"/>
      <c r="H26" s="222"/>
      <c r="I26" s="14"/>
      <c r="J26" s="189" t="s">
        <v>51</v>
      </c>
      <c r="K26" s="11"/>
      <c r="L26" s="201" t="s">
        <v>52</v>
      </c>
      <c r="M26" s="17"/>
      <c r="N26" s="17"/>
      <c r="O26" s="14"/>
      <c r="P26" s="207" t="s">
        <v>5</v>
      </c>
      <c r="R26" s="5"/>
      <c r="T26" s="202" t="s">
        <v>49</v>
      </c>
      <c r="U26" s="205"/>
      <c r="V26" s="205"/>
      <c r="W26" s="205"/>
      <c r="X26" s="205"/>
      <c r="Y26" s="205"/>
      <c r="Z26" s="205"/>
      <c r="AA26" s="205"/>
      <c r="AB26" s="206"/>
      <c r="AC26" s="23"/>
      <c r="AD26" s="23"/>
      <c r="AE26" s="23"/>
      <c r="AF26" s="23"/>
      <c r="AG26" s="23"/>
      <c r="AH26" s="7"/>
      <c r="AI26" s="7"/>
      <c r="AJ26" s="7"/>
      <c r="AK26" s="7"/>
      <c r="AL26" s="7"/>
      <c r="AM26" s="1"/>
      <c r="AN26" s="75"/>
      <c r="AO26" s="75"/>
      <c r="AP26" s="10"/>
      <c r="AQ26" s="10"/>
      <c r="AR26" s="75"/>
      <c r="AS26" s="5"/>
    </row>
    <row r="27" spans="2:45" ht="9.9499999999999993" customHeight="1" x14ac:dyDescent="0.25">
      <c r="B27" s="31"/>
      <c r="C27" s="26"/>
      <c r="D27" s="13"/>
      <c r="E27" s="14"/>
      <c r="F27" s="43"/>
      <c r="G27" s="14"/>
      <c r="H27" s="29"/>
      <c r="I27" s="14"/>
      <c r="J27" s="44"/>
      <c r="K27" s="14"/>
      <c r="L27" s="14"/>
      <c r="M27" s="14"/>
      <c r="N27" s="14"/>
      <c r="O27" s="14"/>
      <c r="P27" s="45"/>
      <c r="R27" s="5"/>
      <c r="T27" s="35"/>
      <c r="U27" s="23"/>
      <c r="V27" s="46"/>
      <c r="W27" s="23"/>
      <c r="X27" s="35"/>
      <c r="Y27" s="23"/>
      <c r="Z27" s="46"/>
      <c r="AA27" s="23"/>
      <c r="AB27" s="23"/>
      <c r="AC27" s="45"/>
      <c r="AF27" s="7"/>
      <c r="AG27" s="7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</row>
    <row r="28" spans="2:45" ht="20.100000000000001" customHeight="1" x14ac:dyDescent="0.25">
      <c r="B28" s="176" t="s">
        <v>88</v>
      </c>
      <c r="C28" s="177"/>
      <c r="D28" s="178"/>
      <c r="F28" s="120"/>
      <c r="G28" s="14"/>
      <c r="H28" s="120"/>
      <c r="I28" s="47"/>
      <c r="J28" s="120">
        <f>(F28+H28)*1.1392</f>
        <v>0</v>
      </c>
      <c r="K28" s="14"/>
      <c r="L28" s="120">
        <f>F28+H28</f>
        <v>0</v>
      </c>
      <c r="M28" s="13"/>
      <c r="N28" s="48"/>
      <c r="O28" s="14"/>
      <c r="P28" s="5"/>
      <c r="Q28" s="49"/>
      <c r="R28" s="5"/>
      <c r="T28" s="223" t="s">
        <v>20</v>
      </c>
      <c r="U28" s="22"/>
      <c r="V28" s="223" t="s">
        <v>2</v>
      </c>
      <c r="W28" s="50"/>
      <c r="X28" s="223" t="s">
        <v>2</v>
      </c>
      <c r="Y28" s="51"/>
      <c r="Z28" s="223" t="s">
        <v>3</v>
      </c>
      <c r="AB28" s="219" t="s">
        <v>3</v>
      </c>
      <c r="AE28" s="10"/>
      <c r="AF28" s="10"/>
      <c r="AG28" s="16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</row>
    <row r="29" spans="2:45" ht="20.100000000000001" customHeight="1" x14ac:dyDescent="0.25">
      <c r="B29" s="179" t="s">
        <v>89</v>
      </c>
      <c r="C29" s="52"/>
      <c r="D29" s="180"/>
      <c r="F29" s="121"/>
      <c r="G29" s="47"/>
      <c r="H29" s="121"/>
      <c r="I29" s="13"/>
      <c r="J29" s="121">
        <f>(F29+H29)*1.1255</f>
        <v>0</v>
      </c>
      <c r="K29" s="14"/>
      <c r="L29" s="121">
        <f>F29+H29</f>
        <v>0</v>
      </c>
      <c r="M29" s="13"/>
      <c r="N29" s="48"/>
      <c r="O29" s="14"/>
      <c r="P29" s="38"/>
      <c r="Q29" s="49"/>
      <c r="T29" s="53"/>
      <c r="U29" s="22"/>
      <c r="V29" s="53"/>
      <c r="W29" s="50"/>
      <c r="X29" s="53"/>
      <c r="Y29" s="51"/>
      <c r="Z29" s="22"/>
      <c r="AA29" s="5"/>
      <c r="AB29" s="6"/>
      <c r="AE29" s="10"/>
      <c r="AF29" s="10"/>
      <c r="AG29" s="10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</row>
    <row r="30" spans="2:45" ht="20.100000000000001" customHeight="1" x14ac:dyDescent="0.25">
      <c r="B30" s="179" t="s">
        <v>92</v>
      </c>
      <c r="C30" s="52"/>
      <c r="D30" s="180"/>
      <c r="F30" s="121"/>
      <c r="G30" s="13"/>
      <c r="H30" s="121"/>
      <c r="I30" s="13"/>
      <c r="J30" s="121">
        <f>F30+H30</f>
        <v>0</v>
      </c>
      <c r="K30" s="14"/>
      <c r="L30" s="121">
        <f>F30+H30</f>
        <v>0</v>
      </c>
      <c r="M30" s="54"/>
      <c r="N30" s="48"/>
      <c r="O30" s="47"/>
      <c r="P30" s="167" t="s">
        <v>78</v>
      </c>
      <c r="Q30" s="168"/>
      <c r="R30" s="150"/>
      <c r="T30" s="172" t="str">
        <f>IF($R$11+$Z$11+$X$23=0,"",12.5%)</f>
        <v/>
      </c>
      <c r="U30" s="55"/>
      <c r="V30" s="172" t="str">
        <f>IF($R$11+$Z$11+$X$23=0,"",12.5%)</f>
        <v/>
      </c>
      <c r="W30" s="50"/>
      <c r="X30" s="172" t="str">
        <f>IF($R$11+$Z$11+$X$23=0,"",6%)</f>
        <v/>
      </c>
      <c r="Y30" s="55"/>
      <c r="Z30" s="172" t="str">
        <f>IF($R$11+$Z$11+$X$23=0,"",10%)</f>
        <v/>
      </c>
      <c r="AA30" s="50"/>
      <c r="AB30" s="172" t="str">
        <f>IF($R$11+$Z$11+$X$23=0,"",5%)</f>
        <v/>
      </c>
      <c r="AE30" s="50"/>
      <c r="AF30" s="50"/>
      <c r="AG30" s="2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</row>
    <row r="31" spans="2:45" ht="20.100000000000001" customHeight="1" x14ac:dyDescent="0.25">
      <c r="B31" s="154" t="s">
        <v>66</v>
      </c>
      <c r="C31" s="52"/>
      <c r="D31" s="180"/>
      <c r="F31" s="121"/>
      <c r="G31" s="54"/>
      <c r="H31" s="121"/>
      <c r="I31" s="54"/>
      <c r="J31" s="121">
        <f>F31+H31</f>
        <v>0</v>
      </c>
      <c r="K31" s="14"/>
      <c r="L31" s="121" t="str">
        <f>IF(AND(ISNUMBER(F31),COUNT(H28:H30)&gt;0),MIN(F31,660),IF(AND(ISNUMBER(H31),COUNT(F28:F30)&gt;0),MIN(H31,660),IF(AND(ISNUMBER(F31),H31="",COUNT(H28:H30)=0),MIN(750,F31),IF(AND(ISNUMBER(F31),ISNUMBER(H31)),MIN(930,MAX(F31,H31)),""))))</f>
        <v/>
      </c>
      <c r="M31" s="54"/>
      <c r="N31" s="48"/>
      <c r="O31" s="13"/>
      <c r="P31" s="169" t="s">
        <v>93</v>
      </c>
      <c r="Q31" s="56"/>
      <c r="R31" s="152"/>
      <c r="T31" s="127" t="str">
        <f>IF($R$11+$Z$11+$X$23=0,"",60000)</f>
        <v/>
      </c>
      <c r="U31" s="55"/>
      <c r="V31" s="173" t="str">
        <f>IF($R$11+$Z$11+$X$23=0,"","non")</f>
        <v/>
      </c>
      <c r="W31" s="50"/>
      <c r="X31" s="173" t="str">
        <f>IF($R$11+$Z$11+$X$23=0,"","non")</f>
        <v/>
      </c>
      <c r="Y31" s="55"/>
      <c r="Z31" s="127" t="str">
        <f>IF($R$11+$Z$11+$X$23=0,"",15000)</f>
        <v/>
      </c>
      <c r="AA31" s="50"/>
      <c r="AB31" s="127" t="str">
        <f>IF($R$11+$Z$11+$X$23=0,"",15000)</f>
        <v/>
      </c>
      <c r="AE31" s="50"/>
      <c r="AF31" s="50"/>
      <c r="AG31" s="262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</row>
    <row r="32" spans="2:45" ht="20.100000000000001" customHeight="1" x14ac:dyDescent="0.25">
      <c r="B32" s="154" t="s">
        <v>67</v>
      </c>
      <c r="C32" s="52"/>
      <c r="D32" s="180"/>
      <c r="F32" s="121"/>
      <c r="G32" s="54"/>
      <c r="H32" s="121"/>
      <c r="I32" s="54"/>
      <c r="J32" s="121">
        <f>F32+H32</f>
        <v>0</v>
      </c>
      <c r="K32" s="54"/>
      <c r="L32" s="121">
        <f>F32+H32</f>
        <v>0</v>
      </c>
      <c r="M32" s="54"/>
      <c r="N32" s="48"/>
      <c r="O32" s="13"/>
      <c r="P32" s="169" t="s">
        <v>74</v>
      </c>
      <c r="Q32" s="56"/>
      <c r="R32" s="152"/>
      <c r="T32" s="126">
        <f>IF(R6&gt;=60000,(R11-60000)*12.5%,0)</f>
        <v>0</v>
      </c>
      <c r="U32" s="57"/>
      <c r="V32" s="126">
        <f>SUM(R6+Z11)*12.5%</f>
        <v>0</v>
      </c>
      <c r="W32" s="22"/>
      <c r="X32" s="126">
        <f>SUM(R11+Z11)*6%</f>
        <v>0</v>
      </c>
      <c r="Y32" s="57"/>
      <c r="Z32" s="126">
        <f>IF(R11&gt;=15000,(R11-15000)*10%,0)</f>
        <v>0</v>
      </c>
      <c r="AA32" s="22"/>
      <c r="AB32" s="126">
        <f>IF(R11&gt;15000,(R11-15000)*5%,0)</f>
        <v>0</v>
      </c>
      <c r="AE32" s="22"/>
      <c r="AF32" s="22"/>
      <c r="AG32" s="57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</row>
    <row r="33" spans="1:45" ht="20.100000000000001" customHeight="1" x14ac:dyDescent="0.25">
      <c r="B33" s="154" t="s">
        <v>65</v>
      </c>
      <c r="C33" s="52"/>
      <c r="D33" s="180"/>
      <c r="F33" s="121"/>
      <c r="G33" s="54"/>
      <c r="H33" s="121"/>
      <c r="I33" s="54"/>
      <c r="J33" s="121">
        <f>MIN(COUNTA(F33:H33)*275,F33+H33)</f>
        <v>0</v>
      </c>
      <c r="K33" s="166"/>
      <c r="L33" s="121" t="str">
        <f>IF(AND(ISNUMBER(F33),COUNT(H28:H30)&gt;0),MIN(F33,630),IF(AND(ISNUMBER(H33),COUNT(F28:F30)&gt;0),MIN(H33,630),IF(AND(ISNUMBER(F33),H33="",COUNT(H28:H30)=0),MIN(850,F33),IF(AND(ISNUMBER(F33),ISNUMBER(H33)),MIN(1000,MAX(F33,H33)),""))))</f>
        <v/>
      </c>
      <c r="M33" s="54"/>
      <c r="N33" s="48"/>
      <c r="O33" s="54"/>
      <c r="P33" s="169" t="s">
        <v>79</v>
      </c>
      <c r="Q33" s="56"/>
      <c r="R33" s="152"/>
      <c r="T33" s="138">
        <f>SUM(Z61:Z67)</f>
        <v>0</v>
      </c>
      <c r="U33" s="25"/>
      <c r="V33" s="138">
        <f>T33</f>
        <v>0</v>
      </c>
      <c r="W33" s="22"/>
      <c r="X33" s="138">
        <f>T33</f>
        <v>0</v>
      </c>
      <c r="Y33" s="25"/>
      <c r="Z33" s="138">
        <f>T33</f>
        <v>0</v>
      </c>
      <c r="AA33" s="22"/>
      <c r="AB33" s="138">
        <f>T33</f>
        <v>0</v>
      </c>
      <c r="AE33" s="22"/>
      <c r="AF33" s="22"/>
      <c r="AG33" s="2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</row>
    <row r="34" spans="1:45" ht="20.100000000000001" customHeight="1" x14ac:dyDescent="0.25">
      <c r="A34" s="28"/>
      <c r="B34" s="179" t="s">
        <v>30</v>
      </c>
      <c r="C34" s="52"/>
      <c r="D34" s="180"/>
      <c r="F34" s="121"/>
      <c r="G34" s="54"/>
      <c r="H34" s="121"/>
      <c r="I34" s="54"/>
      <c r="J34" s="121">
        <f>MIN(COUNTA(F34:H34)*80,F34+H34)</f>
        <v>0</v>
      </c>
      <c r="K34" s="54"/>
      <c r="L34" s="121" t="s">
        <v>53</v>
      </c>
      <c r="M34" s="48"/>
      <c r="N34" s="48"/>
      <c r="O34" s="54"/>
      <c r="P34" s="169" t="s">
        <v>13</v>
      </c>
      <c r="Q34" s="56"/>
      <c r="R34" s="152"/>
      <c r="T34" s="127" t="str">
        <f>IF($R$11+$Z$11+$X$23=0,"",900)</f>
        <v/>
      </c>
      <c r="U34" s="25"/>
      <c r="V34" s="127" t="str">
        <f>IF($R$11+$Z$11+$X$23=0,"",900)</f>
        <v/>
      </c>
      <c r="W34" s="22"/>
      <c r="X34" s="127" t="str">
        <f>IF($R$11+$Z$11+$X$23=0,"",900)</f>
        <v/>
      </c>
      <c r="Y34" s="25"/>
      <c r="Z34" s="127" t="str">
        <f>IF($R$11+$Z$11+$X$23=0,"",900)</f>
        <v/>
      </c>
      <c r="AA34" s="22"/>
      <c r="AB34" s="127" t="str">
        <f>IF($R$11+$Z$11+$X$23=0,"",900)</f>
        <v/>
      </c>
      <c r="AE34" s="22"/>
      <c r="AF34" s="22"/>
      <c r="AG34" s="22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</row>
    <row r="35" spans="1:45" ht="20.100000000000001" customHeight="1" x14ac:dyDescent="0.25">
      <c r="B35" s="179" t="s">
        <v>47</v>
      </c>
      <c r="C35" s="52"/>
      <c r="D35" s="180"/>
      <c r="F35" s="121"/>
      <c r="G35" s="54"/>
      <c r="H35" s="121"/>
      <c r="I35" s="54"/>
      <c r="J35" s="121">
        <f>IF((F35+H35)/2&gt;(J28+J29+J30+J31+J32+J33)*0.2,(J28+J29+J30+J31+J32+J33)*0.2,(F35+H35)/2)</f>
        <v>0</v>
      </c>
      <c r="K35" s="48"/>
      <c r="L35" s="121" t="s">
        <v>53</v>
      </c>
      <c r="M35" s="48"/>
      <c r="N35" s="48"/>
      <c r="O35" s="54"/>
      <c r="P35" s="170" t="s">
        <v>15</v>
      </c>
      <c r="Q35" s="171"/>
      <c r="R35" s="157"/>
      <c r="T35" s="139">
        <f>SUM(T32:T34)</f>
        <v>0</v>
      </c>
      <c r="U35" s="25"/>
      <c r="V35" s="139">
        <f>SUM(V32:V34)</f>
        <v>0</v>
      </c>
      <c r="W35" s="22"/>
      <c r="X35" s="139">
        <f>SUM(X32:X34)</f>
        <v>0</v>
      </c>
      <c r="Y35" s="25"/>
      <c r="Z35" s="139">
        <f>SUM(Z32:Z34)</f>
        <v>0</v>
      </c>
      <c r="AA35" s="22"/>
      <c r="AB35" s="139">
        <f>SUM(AB32:AB34)</f>
        <v>0</v>
      </c>
      <c r="AE35" s="22"/>
      <c r="AF35" s="22"/>
      <c r="AG35" s="2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</row>
    <row r="36" spans="1:45" ht="20.100000000000001" customHeight="1" x14ac:dyDescent="0.25">
      <c r="B36" s="179" t="s">
        <v>46</v>
      </c>
      <c r="C36" s="52"/>
      <c r="D36" s="180"/>
      <c r="F36" s="175"/>
      <c r="G36" s="54"/>
      <c r="H36" s="175"/>
      <c r="I36" s="54"/>
      <c r="J36" s="121">
        <f>IF((F36+H36)*75&gt;(J28+J29+J30+J31+J32+J33)*0.2,(J28+J29+J30+J31+J32+J33)*0.2,(F36+H36)*75)</f>
        <v>0</v>
      </c>
      <c r="K36" s="48"/>
      <c r="L36" s="121" t="s">
        <v>53</v>
      </c>
      <c r="M36" s="54"/>
      <c r="N36" s="48"/>
      <c r="O36" s="54"/>
      <c r="P36" s="58"/>
      <c r="Q36" s="49"/>
      <c r="T36" s="25"/>
      <c r="U36" s="25"/>
      <c r="V36" s="25"/>
      <c r="W36" s="50"/>
      <c r="X36" s="25"/>
      <c r="Y36" s="25"/>
      <c r="Z36" s="25"/>
      <c r="AA36" s="59"/>
      <c r="AB36" s="25"/>
      <c r="AE36" s="50"/>
      <c r="AF36" s="50"/>
      <c r="AG36" s="2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</row>
    <row r="37" spans="1:45" ht="20.100000000000001" customHeight="1" x14ac:dyDescent="0.25">
      <c r="B37" s="154" t="s">
        <v>64</v>
      </c>
      <c r="C37" s="52"/>
      <c r="D37" s="180"/>
      <c r="F37" s="121"/>
      <c r="G37" s="54"/>
      <c r="H37" s="121"/>
      <c r="I37" s="54"/>
      <c r="J37" s="121">
        <f>(F37+H37)*0.85</f>
        <v>0</v>
      </c>
      <c r="K37" s="14"/>
      <c r="L37" s="121">
        <f>(H37+F37)*0.8</f>
        <v>0</v>
      </c>
      <c r="M37" s="54"/>
      <c r="N37" s="48"/>
      <c r="O37" s="54"/>
      <c r="P37" s="5"/>
      <c r="Q37" s="17"/>
      <c r="R37" s="5"/>
      <c r="T37" s="202" t="s">
        <v>50</v>
      </c>
      <c r="U37" s="203"/>
      <c r="V37" s="203"/>
      <c r="W37" s="203"/>
      <c r="X37" s="203"/>
      <c r="Y37" s="203"/>
      <c r="Z37" s="203"/>
      <c r="AA37" s="203"/>
      <c r="AB37" s="204"/>
      <c r="AE37" s="17"/>
      <c r="AF37" s="17"/>
      <c r="AG37" s="17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</row>
    <row r="38" spans="1:45" ht="20.100000000000001" customHeight="1" x14ac:dyDescent="0.25">
      <c r="B38" s="154" t="s">
        <v>63</v>
      </c>
      <c r="C38" s="52"/>
      <c r="D38" s="180"/>
      <c r="F38" s="121"/>
      <c r="G38" s="54"/>
      <c r="H38" s="121"/>
      <c r="I38" s="54"/>
      <c r="J38" s="121">
        <f>(F38+H38)*0.85</f>
        <v>0</v>
      </c>
      <c r="K38" s="14"/>
      <c r="L38" s="121">
        <f>(H38+F38)*0.8</f>
        <v>0</v>
      </c>
      <c r="M38" s="54"/>
      <c r="N38" s="48"/>
      <c r="O38" s="54"/>
      <c r="P38" s="38"/>
      <c r="Q38" s="60"/>
      <c r="T38" s="22"/>
      <c r="U38" s="25"/>
      <c r="V38" s="22"/>
      <c r="W38" s="61"/>
      <c r="X38" s="22"/>
      <c r="Y38" s="25"/>
      <c r="Z38" s="22"/>
      <c r="AA38" s="59"/>
      <c r="AB38" s="22"/>
      <c r="AE38" s="50"/>
      <c r="AF38" s="50"/>
      <c r="AG38" s="22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</row>
    <row r="39" spans="1:45" ht="20.100000000000001" customHeight="1" x14ac:dyDescent="0.25">
      <c r="B39" s="154" t="s">
        <v>87</v>
      </c>
      <c r="C39" s="52"/>
      <c r="D39" s="180"/>
      <c r="F39" s="121"/>
      <c r="G39" s="54"/>
      <c r="H39" s="121"/>
      <c r="I39" s="54"/>
      <c r="J39" s="121">
        <f>F39+H39</f>
        <v>0</v>
      </c>
      <c r="K39" s="14"/>
      <c r="L39" s="121">
        <f>H39+F39</f>
        <v>0</v>
      </c>
      <c r="M39" s="54"/>
      <c r="N39" s="48"/>
      <c r="O39" s="54"/>
      <c r="P39" s="184" t="s">
        <v>75</v>
      </c>
      <c r="Q39" s="168"/>
      <c r="R39" s="150"/>
      <c r="T39" s="137">
        <f>(((R6+R9+Z11+X23)*110%*1.3%))+300</f>
        <v>300</v>
      </c>
      <c r="U39" s="25"/>
      <c r="V39" s="137">
        <f>(((R6+R9+Z11+X23)*110%*1.3%))+300</f>
        <v>300</v>
      </c>
      <c r="W39" s="25"/>
      <c r="X39" s="137">
        <f>(((R6+R9+Z11+X23)*110%*1.3%))+300</f>
        <v>300</v>
      </c>
      <c r="Y39" s="25"/>
      <c r="Z39" s="137">
        <f>(((R6+R9+Z11+X23)*110%*1.3%))+300</f>
        <v>300</v>
      </c>
      <c r="AA39" s="25"/>
      <c r="AB39" s="137">
        <f>(((R6+R9+Z11+X23)*110%*1.3%))+300</f>
        <v>300</v>
      </c>
      <c r="AE39" s="25"/>
      <c r="AF39" s="25"/>
      <c r="AG39" s="2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</row>
    <row r="40" spans="1:45" ht="20.100000000000001" customHeight="1" x14ac:dyDescent="0.25">
      <c r="B40" s="154" t="s">
        <v>62</v>
      </c>
      <c r="C40" s="52"/>
      <c r="D40" s="180"/>
      <c r="F40" s="121"/>
      <c r="G40" s="54"/>
      <c r="H40" s="121"/>
      <c r="I40" s="54"/>
      <c r="J40" s="121">
        <f>F40+H40</f>
        <v>0</v>
      </c>
      <c r="K40" s="14"/>
      <c r="L40" s="121">
        <f>H40+F40</f>
        <v>0</v>
      </c>
      <c r="M40" s="54"/>
      <c r="N40" s="48"/>
      <c r="O40" s="54"/>
      <c r="P40" s="185" t="s">
        <v>79</v>
      </c>
      <c r="Q40" s="56"/>
      <c r="R40" s="152"/>
      <c r="T40" s="138">
        <f>SUM(Z69:Z75)</f>
        <v>0</v>
      </c>
      <c r="U40" s="22"/>
      <c r="V40" s="127">
        <f>T40</f>
        <v>0</v>
      </c>
      <c r="W40" s="22"/>
      <c r="X40" s="127">
        <f>T40</f>
        <v>0</v>
      </c>
      <c r="Y40" s="22"/>
      <c r="Z40" s="127">
        <f>T40</f>
        <v>0</v>
      </c>
      <c r="AA40" s="22"/>
      <c r="AB40" s="127">
        <f>T40</f>
        <v>0</v>
      </c>
      <c r="AE40" s="22"/>
      <c r="AF40" s="22"/>
      <c r="AG40" s="22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</row>
    <row r="41" spans="1:45" ht="20.100000000000001" customHeight="1" x14ac:dyDescent="0.25">
      <c r="B41" s="154" t="s">
        <v>61</v>
      </c>
      <c r="C41" s="52"/>
      <c r="D41" s="180"/>
      <c r="F41" s="121"/>
      <c r="G41" s="54"/>
      <c r="H41" s="121"/>
      <c r="I41" s="54"/>
      <c r="J41" s="121">
        <f>F41+H41</f>
        <v>0</v>
      </c>
      <c r="K41" s="14"/>
      <c r="L41" s="121">
        <f>H41+F41</f>
        <v>0</v>
      </c>
      <c r="M41" s="54"/>
      <c r="N41" s="48"/>
      <c r="O41" s="54"/>
      <c r="P41" s="185" t="s">
        <v>21</v>
      </c>
      <c r="Q41" s="56"/>
      <c r="R41" s="152"/>
      <c r="T41" s="127" t="str">
        <f>IF($R$11+$Z$11+$X$23=0,"",1000)</f>
        <v/>
      </c>
      <c r="U41" s="22"/>
      <c r="V41" s="127" t="str">
        <f>T41</f>
        <v/>
      </c>
      <c r="W41" s="22"/>
      <c r="X41" s="127" t="str">
        <f>T41</f>
        <v/>
      </c>
      <c r="Y41" s="22"/>
      <c r="Z41" s="127" t="str">
        <f>T41</f>
        <v/>
      </c>
      <c r="AA41" s="22"/>
      <c r="AB41" s="127" t="str">
        <f>T41</f>
        <v/>
      </c>
      <c r="AE41" s="22"/>
      <c r="AF41" s="22"/>
      <c r="AG41" s="22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</row>
    <row r="42" spans="1:45" ht="20.100000000000001" customHeight="1" x14ac:dyDescent="0.25">
      <c r="B42" s="154" t="s">
        <v>90</v>
      </c>
      <c r="C42" s="52"/>
      <c r="D42" s="180"/>
      <c r="F42" s="121"/>
      <c r="G42" s="54"/>
      <c r="H42" s="121"/>
      <c r="I42" s="54"/>
      <c r="J42" s="121">
        <f>F42+H42</f>
        <v>0</v>
      </c>
      <c r="K42" s="14"/>
      <c r="L42" s="121">
        <f>H42+F42</f>
        <v>0</v>
      </c>
      <c r="M42" s="54"/>
      <c r="N42" s="48"/>
      <c r="O42" s="54"/>
      <c r="P42" s="155" t="s">
        <v>16</v>
      </c>
      <c r="Q42" s="171"/>
      <c r="R42" s="183"/>
      <c r="T42" s="187">
        <f>SUM(T39:T41)</f>
        <v>300</v>
      </c>
      <c r="U42" s="22"/>
      <c r="V42" s="187">
        <f>T42</f>
        <v>300</v>
      </c>
      <c r="W42" s="22"/>
      <c r="X42" s="187">
        <f>T42</f>
        <v>300</v>
      </c>
      <c r="Y42" s="22"/>
      <c r="Z42" s="187">
        <f>T42</f>
        <v>300</v>
      </c>
      <c r="AA42" s="22"/>
      <c r="AB42" s="187">
        <f>T42</f>
        <v>300</v>
      </c>
      <c r="AE42" s="22"/>
      <c r="AF42" s="22"/>
      <c r="AG42" s="22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</row>
    <row r="43" spans="1:45" ht="20.100000000000001" customHeight="1" x14ac:dyDescent="0.25">
      <c r="B43" s="154" t="s">
        <v>31</v>
      </c>
      <c r="C43" s="52"/>
      <c r="D43" s="180"/>
      <c r="F43" s="140"/>
      <c r="G43" s="54"/>
      <c r="H43" s="140"/>
      <c r="I43" s="54"/>
      <c r="J43" s="174">
        <f>F43+H43</f>
        <v>0</v>
      </c>
      <c r="K43" s="14"/>
      <c r="L43" s="174">
        <f>H43+F43</f>
        <v>0</v>
      </c>
      <c r="M43" s="54"/>
      <c r="N43" s="62"/>
      <c r="O43" s="54"/>
      <c r="P43" s="63"/>
      <c r="Q43" s="49"/>
      <c r="T43" s="22"/>
      <c r="U43" s="22"/>
      <c r="V43" s="22"/>
      <c r="W43" s="22"/>
      <c r="X43" s="22"/>
      <c r="Y43" s="22"/>
      <c r="Z43" s="22"/>
      <c r="AA43" s="22"/>
      <c r="AB43" s="22"/>
      <c r="AE43" s="22"/>
      <c r="AF43" s="22"/>
      <c r="AG43" s="22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</row>
    <row r="44" spans="1:45" ht="20.100000000000001" customHeight="1" x14ac:dyDescent="0.25">
      <c r="B44" s="181" t="s">
        <v>91</v>
      </c>
      <c r="C44" s="182"/>
      <c r="D44" s="183"/>
      <c r="F44" s="132">
        <f>SUM(F28:F37)-F40-F41-F42-F43</f>
        <v>0</v>
      </c>
      <c r="G44" s="54"/>
      <c r="H44" s="132">
        <f>SUM(H28:H37)-H40-H41-H42-H43</f>
        <v>0</v>
      </c>
      <c r="I44" s="54"/>
      <c r="J44" s="132">
        <f>SUM(J28:J39)-J40-J41-J42-J43</f>
        <v>0</v>
      </c>
      <c r="K44" s="64"/>
      <c r="L44" s="132">
        <f t="shared" ref="L44" si="2">SUM(L28:L39)-L40-L41-L42-L43</f>
        <v>0</v>
      </c>
      <c r="M44" s="54"/>
      <c r="N44" s="48"/>
      <c r="O44" s="54"/>
      <c r="P44" s="186" t="s">
        <v>80</v>
      </c>
      <c r="Q44" s="168"/>
      <c r="R44" s="150"/>
      <c r="T44" s="137">
        <f>T42+T35</f>
        <v>300</v>
      </c>
      <c r="U44" s="22"/>
      <c r="V44" s="137">
        <f>V42+V35</f>
        <v>300</v>
      </c>
      <c r="W44" s="22"/>
      <c r="X44" s="137">
        <f>X42+X35</f>
        <v>300</v>
      </c>
      <c r="Y44" s="22"/>
      <c r="Z44" s="137">
        <f>Z42+Z35</f>
        <v>300</v>
      </c>
      <c r="AA44" s="22"/>
      <c r="AB44" s="137">
        <f>AB42+AB35</f>
        <v>300</v>
      </c>
      <c r="AE44" s="22"/>
      <c r="AF44" s="22"/>
      <c r="AG44" s="2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</row>
    <row r="45" spans="1:45" ht="20.100000000000001" customHeight="1" thickBot="1" x14ac:dyDescent="0.3">
      <c r="B45" s="20"/>
      <c r="D45" s="62"/>
      <c r="E45" s="54"/>
      <c r="F45" s="62"/>
      <c r="G45" s="54"/>
      <c r="H45" s="62"/>
      <c r="I45" s="54"/>
      <c r="J45" s="62"/>
      <c r="K45" s="54"/>
      <c r="L45" s="62"/>
      <c r="M45" s="54"/>
      <c r="N45" s="48"/>
      <c r="O45" s="54"/>
      <c r="P45" s="153" t="s">
        <v>60</v>
      </c>
      <c r="Q45" s="56"/>
      <c r="R45" s="152"/>
      <c r="T45" s="138">
        <f>R11+X23+Z11</f>
        <v>0</v>
      </c>
      <c r="U45" s="22"/>
      <c r="V45" s="127">
        <f>R11+X23+Z11</f>
        <v>0</v>
      </c>
      <c r="W45" s="22"/>
      <c r="X45" s="127">
        <f>R11+Z11+X23</f>
        <v>0</v>
      </c>
      <c r="Y45" s="22"/>
      <c r="Z45" s="127">
        <f>R11+X23+Z11</f>
        <v>0</v>
      </c>
      <c r="AA45" s="22"/>
      <c r="AB45" s="127">
        <f>R11+X23+Z11</f>
        <v>0</v>
      </c>
      <c r="AE45" s="22"/>
      <c r="AF45" s="22"/>
      <c r="AG45" s="22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</row>
    <row r="46" spans="1:45" ht="20.100000000000001" customHeight="1" thickBot="1" x14ac:dyDescent="0.3">
      <c r="B46" s="131" t="s">
        <v>54</v>
      </c>
      <c r="C46" s="7"/>
      <c r="D46" s="62"/>
      <c r="E46" s="54"/>
      <c r="F46" s="62"/>
      <c r="G46" s="54"/>
      <c r="H46" s="62"/>
      <c r="I46" s="54"/>
      <c r="J46" s="224">
        <f>J44*40%</f>
        <v>0</v>
      </c>
      <c r="K46" s="54"/>
      <c r="L46" s="225">
        <f>CHOOSE(MATCH(L44,{0;2001;3001},1),0.4,0.45,0.5)*L44</f>
        <v>0</v>
      </c>
      <c r="M46" s="54"/>
      <c r="N46" s="48"/>
      <c r="O46" s="54"/>
      <c r="P46" s="155" t="s">
        <v>118</v>
      </c>
      <c r="Q46" s="171"/>
      <c r="R46" s="157"/>
      <c r="T46" s="139">
        <f>SUM(T44:T45)</f>
        <v>300</v>
      </c>
      <c r="U46" s="25"/>
      <c r="V46" s="139">
        <f>SUM(V44:V45)</f>
        <v>300</v>
      </c>
      <c r="W46" s="25"/>
      <c r="X46" s="139">
        <f>SUM(X44:X45)</f>
        <v>300</v>
      </c>
      <c r="Y46" s="25"/>
      <c r="Z46" s="139">
        <f>SUM(Z44:Z45)</f>
        <v>300</v>
      </c>
      <c r="AA46" s="22"/>
      <c r="AB46" s="139">
        <f>SUM(AB44:AB45)</f>
        <v>300</v>
      </c>
      <c r="AE46" s="22"/>
      <c r="AF46" s="22"/>
      <c r="AG46" s="2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</row>
    <row r="47" spans="1:45" ht="20.100000000000001" customHeight="1" x14ac:dyDescent="0.25">
      <c r="B47" s="11"/>
      <c r="C47" s="7"/>
      <c r="D47" s="62"/>
      <c r="E47" s="54"/>
      <c r="F47" s="62"/>
      <c r="G47" s="54"/>
      <c r="H47" s="62"/>
      <c r="I47" s="54"/>
      <c r="J47" s="65"/>
      <c r="K47" s="54"/>
      <c r="L47" s="62"/>
      <c r="M47" s="54"/>
      <c r="N47" s="48"/>
      <c r="O47" s="54"/>
      <c r="P47" s="7"/>
      <c r="Q47" s="10"/>
      <c r="T47" s="22"/>
      <c r="U47" s="22"/>
      <c r="V47" s="22"/>
      <c r="W47" s="22"/>
      <c r="X47" s="22"/>
      <c r="Y47" s="22"/>
      <c r="Z47" s="22"/>
      <c r="AA47" s="22"/>
      <c r="AB47" s="22"/>
      <c r="AE47" s="22"/>
      <c r="AF47" s="22"/>
      <c r="AG47" s="22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</row>
    <row r="48" spans="1:45" ht="20.100000000000001" customHeight="1" x14ac:dyDescent="0.25">
      <c r="B48" s="11"/>
      <c r="C48" s="7"/>
      <c r="D48" s="62"/>
      <c r="E48" s="54"/>
      <c r="F48" s="223" t="s">
        <v>20</v>
      </c>
      <c r="G48" s="22"/>
      <c r="H48" s="223" t="s">
        <v>98</v>
      </c>
      <c r="I48" s="50"/>
      <c r="J48" s="223" t="s">
        <v>99</v>
      </c>
      <c r="K48" s="51"/>
      <c r="L48" s="223" t="s">
        <v>100</v>
      </c>
      <c r="N48" s="219" t="s">
        <v>101</v>
      </c>
      <c r="O48" s="54"/>
      <c r="P48" s="7"/>
      <c r="Q48" s="10"/>
      <c r="R48" s="5"/>
      <c r="T48" s="223" t="s">
        <v>20</v>
      </c>
      <c r="U48" s="22"/>
      <c r="V48" s="223" t="s">
        <v>98</v>
      </c>
      <c r="W48" s="50"/>
      <c r="X48" s="223" t="s">
        <v>99</v>
      </c>
      <c r="Y48" s="51"/>
      <c r="Z48" s="223" t="s">
        <v>100</v>
      </c>
      <c r="AB48" s="219" t="s">
        <v>101</v>
      </c>
      <c r="AE48" s="22"/>
      <c r="AF48" s="22"/>
      <c r="AG48" s="22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</row>
    <row r="49" spans="2:73" ht="20.100000000000001" customHeight="1" x14ac:dyDescent="0.25">
      <c r="B49" s="208" t="s">
        <v>86</v>
      </c>
      <c r="C49" s="209"/>
      <c r="D49" s="210"/>
      <c r="E49" s="5"/>
      <c r="F49" s="125">
        <f>IF(T46&lt;=F51,MAX(250,MIN(1500,T46*0.5%)),IF(T46&gt;F51,MAX(250,MIN(3500,T46*2%))))</f>
        <v>250</v>
      </c>
      <c r="G49" s="57"/>
      <c r="H49" s="125">
        <f>IF(V46&lt;=H51,MAX(250,MIN(1500,V46*0.5%)),IF(V46&gt;H51,MAX(250,MIN(3500,V46*2%))))</f>
        <v>250</v>
      </c>
      <c r="I49" s="57"/>
      <c r="J49" s="125">
        <f>IF(X46&lt;=J51,MAX(250,MIN(1500,X46*0.5%)),IF(X46&gt;J51,MAX(250,MIN(3500,X46*2%))))</f>
        <v>250</v>
      </c>
      <c r="K49" s="57"/>
      <c r="L49" s="125">
        <f>IF(Z46&lt;=L51,MAX(250,MIN(1500,Z46*0.5%)),IF(Z46&gt;L51,MAX(250,MIN(3500,Z46*2%))))</f>
        <v>250</v>
      </c>
      <c r="M49" s="22"/>
      <c r="N49" s="125">
        <f>IF(AB46&lt;=N51,MAX(250,MIN(1500,AB46*0.5%)),IF(AB46&gt;N51,MAX(250,MIN(3500,AB46*2%))))</f>
        <v>250</v>
      </c>
      <c r="O49" s="54"/>
      <c r="P49" s="190" t="s">
        <v>95</v>
      </c>
      <c r="Q49" s="191"/>
      <c r="R49" s="192"/>
      <c r="T49" s="125">
        <f>CHOOSE(MATCH(T46,{0;30001;250001;500001},1),175,290,500,750)</f>
        <v>175</v>
      </c>
      <c r="U49" s="57"/>
      <c r="V49" s="125">
        <f>CHOOSE(MATCH(V46,{0;30001;250001;500001},1),175,290,500,750)</f>
        <v>175</v>
      </c>
      <c r="W49" s="57"/>
      <c r="X49" s="125">
        <f>CHOOSE(MATCH(X46,{0;30001;250001;500001},1),175,290,500,750)</f>
        <v>175</v>
      </c>
      <c r="Y49" s="57"/>
      <c r="Z49" s="125">
        <f>CHOOSE(MATCH(Z46,{0;30001;250001;500001},1),175,290,500,750)</f>
        <v>175</v>
      </c>
      <c r="AA49" s="57"/>
      <c r="AB49" s="125">
        <f>CHOOSE(MATCH(AB46,{0;30001;250001;500001},1),175,290,500,750)</f>
        <v>175</v>
      </c>
      <c r="AE49" s="22"/>
      <c r="AF49" s="22"/>
      <c r="AG49" s="57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</row>
    <row r="50" spans="2:73" ht="20.100000000000001" customHeight="1" x14ac:dyDescent="0.25">
      <c r="B50" s="211" t="s">
        <v>81</v>
      </c>
      <c r="C50" s="212"/>
      <c r="D50" s="213"/>
      <c r="E50" s="5"/>
      <c r="F50" s="138">
        <f>T46+F49</f>
        <v>550</v>
      </c>
      <c r="G50" s="25"/>
      <c r="H50" s="138">
        <f>H49+V46</f>
        <v>550</v>
      </c>
      <c r="I50" s="25"/>
      <c r="J50" s="138">
        <f>J49+X46</f>
        <v>550</v>
      </c>
      <c r="K50" s="25"/>
      <c r="L50" s="138">
        <f>L49+Z46</f>
        <v>550</v>
      </c>
      <c r="M50" s="22"/>
      <c r="N50" s="138">
        <f>N49+AB46</f>
        <v>550</v>
      </c>
      <c r="O50" s="54"/>
      <c r="P50" s="193" t="s">
        <v>82</v>
      </c>
      <c r="Q50" s="194"/>
      <c r="R50" s="195"/>
      <c r="T50" s="138">
        <f>T46+T49</f>
        <v>475</v>
      </c>
      <c r="U50" s="25"/>
      <c r="V50" s="138">
        <f>V46+V49</f>
        <v>475</v>
      </c>
      <c r="W50" s="25"/>
      <c r="X50" s="138">
        <f>X46+X49</f>
        <v>475</v>
      </c>
      <c r="Y50" s="25"/>
      <c r="Z50" s="138">
        <f>Z46+Z49</f>
        <v>475</v>
      </c>
      <c r="AA50" s="25"/>
      <c r="AB50" s="138">
        <f>AB46+AB49</f>
        <v>475</v>
      </c>
      <c r="AE50" s="22"/>
      <c r="AF50" s="22"/>
      <c r="AG50" s="2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</row>
    <row r="51" spans="2:73" ht="20.100000000000001" customHeight="1" x14ac:dyDescent="0.25">
      <c r="B51" s="214" t="s">
        <v>96</v>
      </c>
      <c r="C51" s="215"/>
      <c r="D51" s="213"/>
      <c r="E51" s="5"/>
      <c r="F51" s="138">
        <f>R6+Z6+X15+X16+X17+X18</f>
        <v>0</v>
      </c>
      <c r="G51" s="22"/>
      <c r="H51" s="127">
        <f>R6+Z6+X15+X16+X17+X18</f>
        <v>0</v>
      </c>
      <c r="I51" s="22"/>
      <c r="J51" s="127">
        <f>R6+Z6+X15+X16+X17+X18</f>
        <v>0</v>
      </c>
      <c r="K51" s="22"/>
      <c r="L51" s="127">
        <f>R6+Z6+X15+X16+X17+X18</f>
        <v>0</v>
      </c>
      <c r="M51" s="22"/>
      <c r="N51" s="127">
        <f>R6+Z6+X15+X16+X17+X18</f>
        <v>0</v>
      </c>
      <c r="O51" s="54"/>
      <c r="P51" s="196" t="s">
        <v>76</v>
      </c>
      <c r="Q51" s="197"/>
      <c r="R51" s="195"/>
      <c r="T51" s="138">
        <f>R11+Z11+X20+X21+X22+X23</f>
        <v>0</v>
      </c>
      <c r="U51" s="22"/>
      <c r="V51" s="127">
        <f>R11+Z11+X20+X21+X22+X23</f>
        <v>0</v>
      </c>
      <c r="W51" s="22"/>
      <c r="X51" s="127">
        <f>R11+Z11+X20+X21+X22+X23</f>
        <v>0</v>
      </c>
      <c r="Y51" s="22"/>
      <c r="Z51" s="127">
        <f>R11+Z11+X20+X21+X22+X23</f>
        <v>0</v>
      </c>
      <c r="AA51" s="22"/>
      <c r="AB51" s="127">
        <f>R11+Z11+X20+X21+X22+X23</f>
        <v>0</v>
      </c>
      <c r="AE51" s="22"/>
      <c r="AF51" s="22"/>
      <c r="AG51" s="2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</row>
    <row r="52" spans="2:73" ht="20.100000000000001" customHeight="1" x14ac:dyDescent="0.25">
      <c r="B52" s="216" t="s">
        <v>116</v>
      </c>
      <c r="C52" s="217"/>
      <c r="D52" s="218"/>
      <c r="E52" s="5"/>
      <c r="F52" s="188">
        <f>IF(F51=0,0,F50/F51)</f>
        <v>0</v>
      </c>
      <c r="G52" s="25"/>
      <c r="H52" s="188">
        <f>IF(H51=0,0,H50/H51)</f>
        <v>0</v>
      </c>
      <c r="I52" s="25"/>
      <c r="J52" s="188">
        <f>IF(J51=0,0,J50/J51)</f>
        <v>0</v>
      </c>
      <c r="K52" s="25"/>
      <c r="L52" s="188">
        <f>IF(L51=0,0,L50/L51)</f>
        <v>0</v>
      </c>
      <c r="M52" s="22"/>
      <c r="N52" s="188">
        <f>IF(N51=0,0,N50/N51)</f>
        <v>0</v>
      </c>
      <c r="O52" s="54"/>
      <c r="P52" s="198" t="s">
        <v>117</v>
      </c>
      <c r="Q52" s="199"/>
      <c r="R52" s="200"/>
      <c r="T52" s="188">
        <f>IF(F51=0,0,T50/T51)</f>
        <v>0</v>
      </c>
      <c r="U52" s="25"/>
      <c r="V52" s="188">
        <f>IF(V51=0,0,V50/V51)</f>
        <v>0</v>
      </c>
      <c r="W52" s="25"/>
      <c r="X52" s="188">
        <f>IF(X51=0,0,X50/X51)</f>
        <v>0</v>
      </c>
      <c r="Y52" s="25"/>
      <c r="Z52" s="188">
        <f>IF(Z51=0,0,Z50/Z51)</f>
        <v>0</v>
      </c>
      <c r="AA52" s="22"/>
      <c r="AB52" s="188">
        <f>IF(AB51=0,0,AB50/AB51)</f>
        <v>0</v>
      </c>
      <c r="AE52" s="22"/>
      <c r="AF52" s="22"/>
      <c r="AG52" s="66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</row>
    <row r="53" spans="2:73" ht="20.100000000000001" customHeight="1" x14ac:dyDescent="0.25">
      <c r="B53" s="7"/>
      <c r="D53" s="48"/>
      <c r="E53" s="54"/>
      <c r="F53" s="48"/>
      <c r="G53" s="54"/>
      <c r="H53" s="48"/>
      <c r="I53" s="54"/>
      <c r="J53" s="48"/>
      <c r="K53" s="54"/>
      <c r="L53" s="48"/>
      <c r="M53" s="50"/>
      <c r="N53" s="50"/>
      <c r="O53" s="54"/>
      <c r="P53" s="45"/>
      <c r="Q53" s="67"/>
      <c r="R53" s="66"/>
      <c r="S53" s="69"/>
      <c r="T53" s="66"/>
      <c r="U53" s="70"/>
      <c r="V53" s="66"/>
      <c r="W53" s="70"/>
      <c r="X53" s="66"/>
      <c r="Y53" s="70"/>
      <c r="Z53" s="66"/>
      <c r="AA53" s="2"/>
      <c r="AB53" s="66"/>
      <c r="AE53" s="22"/>
      <c r="AF53" s="22"/>
      <c r="AG53" s="68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</row>
    <row r="54" spans="2:73" ht="20.100000000000001" customHeight="1" x14ac:dyDescent="0.25">
      <c r="B54" s="7"/>
      <c r="D54" s="48"/>
      <c r="E54" s="54"/>
      <c r="F54" s="48"/>
      <c r="G54" s="54"/>
      <c r="H54" s="48"/>
      <c r="I54" s="54"/>
      <c r="J54" s="48"/>
      <c r="K54" s="54"/>
      <c r="L54" s="48"/>
      <c r="M54" s="50"/>
      <c r="N54" s="50"/>
      <c r="O54" s="54"/>
      <c r="P54" s="50"/>
      <c r="Q54" s="72"/>
      <c r="R54" s="2"/>
      <c r="S54" s="73"/>
      <c r="T54" s="2"/>
      <c r="U54" s="74"/>
      <c r="V54" s="2"/>
      <c r="W54" s="74"/>
      <c r="X54" s="74"/>
      <c r="Y54" s="74"/>
      <c r="Z54" s="74"/>
      <c r="AA54" s="74"/>
      <c r="AB54" s="74"/>
      <c r="AE54" s="57"/>
      <c r="AF54" s="57"/>
      <c r="AG54" s="57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</row>
    <row r="55" spans="2:73" ht="20.100000000000001" customHeight="1" x14ac:dyDescent="0.25">
      <c r="B55" s="7"/>
      <c r="D55" s="48"/>
      <c r="E55" s="54"/>
      <c r="F55" s="48"/>
      <c r="G55" s="54"/>
      <c r="H55" s="48"/>
      <c r="I55" s="54"/>
      <c r="J55" s="48"/>
      <c r="K55" s="54"/>
      <c r="L55" s="48"/>
      <c r="M55" s="50"/>
      <c r="N55" s="50"/>
      <c r="O55" s="54"/>
      <c r="P55" s="50"/>
      <c r="Q55" s="72"/>
      <c r="R55" s="2"/>
      <c r="S55" s="73"/>
      <c r="T55" s="2"/>
      <c r="U55" s="74"/>
      <c r="V55" s="2"/>
      <c r="W55" s="74"/>
      <c r="X55" s="74"/>
      <c r="Y55" s="74"/>
      <c r="Z55" s="74"/>
      <c r="AA55" s="74"/>
      <c r="AB55" s="74"/>
      <c r="AE55" s="25"/>
      <c r="AF55" s="25"/>
      <c r="AG55" s="2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</row>
    <row r="56" spans="2:73" ht="20.100000000000001" customHeight="1" x14ac:dyDescent="0.25">
      <c r="B56" s="7"/>
      <c r="D56" s="48"/>
      <c r="E56" s="54"/>
      <c r="F56" s="48"/>
      <c r="G56" s="54"/>
      <c r="H56" s="48"/>
      <c r="I56" s="54"/>
      <c r="J56" s="48"/>
      <c r="K56" s="54"/>
      <c r="L56" s="48"/>
      <c r="M56" s="50"/>
      <c r="N56" s="50"/>
      <c r="O56" s="54"/>
      <c r="P56" s="50"/>
      <c r="Q56" s="72"/>
      <c r="R56" s="2"/>
      <c r="S56" s="73"/>
      <c r="T56" s="2"/>
      <c r="U56" s="74"/>
      <c r="V56" s="2"/>
      <c r="W56" s="74"/>
      <c r="X56" s="74"/>
      <c r="Y56" s="74"/>
      <c r="Z56" s="74"/>
      <c r="AA56" s="74"/>
      <c r="AB56" s="74"/>
      <c r="AE56" s="22"/>
      <c r="AF56" s="22"/>
      <c r="AG56" s="22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</row>
    <row r="57" spans="2:73" ht="20.100000000000001" customHeight="1" x14ac:dyDescent="0.25">
      <c r="B57" s="7"/>
      <c r="D57" s="48"/>
      <c r="E57" s="54"/>
      <c r="F57" s="48"/>
      <c r="G57" s="54"/>
      <c r="H57" s="48"/>
      <c r="I57" s="54"/>
      <c r="J57" s="48"/>
      <c r="K57" s="54"/>
      <c r="L57" s="48"/>
      <c r="M57" s="50"/>
      <c r="N57" s="50"/>
      <c r="O57" s="54"/>
      <c r="P57" s="50"/>
      <c r="Q57" s="72"/>
      <c r="R57" s="2"/>
      <c r="S57" s="73"/>
      <c r="T57" s="2"/>
      <c r="U57" s="74"/>
      <c r="V57" s="2"/>
      <c r="W57" s="74"/>
      <c r="X57" s="74"/>
      <c r="Y57" s="74"/>
      <c r="Z57" s="74"/>
      <c r="AA57" s="74"/>
      <c r="AB57" s="74"/>
      <c r="AE57" s="22"/>
      <c r="AF57" s="22"/>
      <c r="AG57" s="66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</row>
    <row r="58" spans="2:73" ht="20.100000000000001" customHeight="1" x14ac:dyDescent="0.25">
      <c r="B58" s="7"/>
      <c r="D58" s="48"/>
      <c r="E58" s="54"/>
      <c r="F58" s="48"/>
      <c r="G58" s="54"/>
      <c r="H58" s="48"/>
      <c r="I58" s="54"/>
      <c r="J58" s="48"/>
      <c r="K58" s="54"/>
      <c r="L58" s="48"/>
      <c r="M58" s="50"/>
      <c r="N58" s="50"/>
      <c r="O58" s="54"/>
      <c r="P58" s="81"/>
      <c r="Q58" s="54"/>
      <c r="R58" s="68"/>
      <c r="S58" s="68"/>
      <c r="T58" s="68"/>
      <c r="U58" s="68"/>
      <c r="V58" s="68"/>
      <c r="W58" s="74"/>
      <c r="X58" s="74"/>
      <c r="Y58" s="74"/>
      <c r="Z58" s="74"/>
      <c r="AA58" s="74"/>
      <c r="AB58" s="74"/>
      <c r="AC58" s="2"/>
      <c r="AD58" s="66"/>
      <c r="AE58" s="2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</row>
    <row r="59" spans="2:73" s="71" customFormat="1" ht="20.100000000000001" hidden="1" customHeight="1" x14ac:dyDescent="0.25">
      <c r="B59" s="50"/>
      <c r="C59" s="72"/>
      <c r="D59" s="2"/>
      <c r="E59" s="73"/>
      <c r="F59" s="2"/>
      <c r="G59" s="74"/>
      <c r="H59" s="2"/>
      <c r="I59" s="74"/>
      <c r="J59" s="73"/>
      <c r="K59" s="73"/>
      <c r="L59" s="74"/>
      <c r="M59" s="74"/>
      <c r="N59" s="74"/>
      <c r="O59" s="74"/>
      <c r="P59" s="81"/>
      <c r="Q59" s="54"/>
      <c r="R59" s="68"/>
      <c r="S59" s="68"/>
      <c r="T59" s="68"/>
      <c r="U59" s="68"/>
      <c r="V59" s="68"/>
      <c r="W59" s="74"/>
      <c r="X59" s="74"/>
      <c r="Y59" s="74"/>
      <c r="Z59" s="74"/>
      <c r="AA59" s="74"/>
      <c r="AB59" s="74"/>
      <c r="AC59" s="74"/>
      <c r="AD59" s="68"/>
      <c r="AE59" s="68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T59" s="245"/>
      <c r="AU59" s="245"/>
      <c r="AV59" s="245"/>
      <c r="AW59" s="245"/>
      <c r="AX59" s="245"/>
      <c r="AY59" s="245"/>
      <c r="AZ59" s="245"/>
      <c r="BA59" s="245"/>
      <c r="BB59" s="245"/>
      <c r="BC59" s="245"/>
      <c r="BD59" s="245"/>
      <c r="BE59" s="245"/>
      <c r="BF59" s="245"/>
      <c r="BG59" s="245"/>
      <c r="BH59" s="245"/>
      <c r="BI59" s="245"/>
      <c r="BJ59" s="245"/>
      <c r="BK59" s="245"/>
      <c r="BL59" s="245"/>
      <c r="BM59" s="245"/>
      <c r="BN59" s="245"/>
      <c r="BO59" s="245"/>
      <c r="BP59" s="245"/>
      <c r="BQ59" s="245"/>
      <c r="BR59" s="245"/>
      <c r="BS59" s="245"/>
      <c r="BT59" s="245"/>
      <c r="BU59" s="245"/>
    </row>
    <row r="60" spans="2:73" s="71" customFormat="1" ht="20.100000000000001" hidden="1" customHeight="1" x14ac:dyDescent="0.25">
      <c r="B60" s="50"/>
      <c r="C60" s="72"/>
      <c r="D60" s="2"/>
      <c r="E60" s="73"/>
      <c r="F60" s="2"/>
      <c r="G60" s="74"/>
      <c r="H60" s="2"/>
      <c r="I60" s="74"/>
      <c r="J60" s="73"/>
      <c r="K60" s="73"/>
      <c r="L60" s="74"/>
      <c r="M60" s="74"/>
      <c r="N60" s="74"/>
      <c r="O60" s="74"/>
      <c r="P60" s="36"/>
      <c r="Q60" s="67"/>
      <c r="R60" s="84" t="s">
        <v>8</v>
      </c>
      <c r="S60" s="84"/>
      <c r="T60" s="85">
        <v>0</v>
      </c>
      <c r="U60" s="85"/>
      <c r="V60" s="86">
        <v>7500</v>
      </c>
      <c r="W60" s="74"/>
      <c r="X60" s="74"/>
      <c r="Y60" s="74"/>
      <c r="Z60" s="68"/>
      <c r="AA60" s="68"/>
      <c r="AB60" s="68"/>
      <c r="AC60" s="74"/>
      <c r="AD60" s="68"/>
      <c r="AE60" s="68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T60" s="245"/>
      <c r="AU60" s="245"/>
      <c r="AV60" s="245"/>
      <c r="AW60" s="245"/>
      <c r="AX60" s="245"/>
      <c r="AY60" s="245"/>
      <c r="AZ60" s="245"/>
      <c r="BA60" s="245"/>
      <c r="BB60" s="245"/>
      <c r="BC60" s="245"/>
      <c r="BD60" s="245"/>
      <c r="BE60" s="245"/>
      <c r="BF60" s="245"/>
      <c r="BG60" s="245"/>
      <c r="BH60" s="245"/>
      <c r="BI60" s="245"/>
      <c r="BJ60" s="245"/>
      <c r="BK60" s="245"/>
      <c r="BL60" s="245"/>
      <c r="BM60" s="245"/>
      <c r="BN60" s="245"/>
      <c r="BO60" s="245"/>
      <c r="BP60" s="245"/>
      <c r="BQ60" s="245"/>
      <c r="BR60" s="245"/>
      <c r="BS60" s="245"/>
      <c r="BT60" s="245"/>
      <c r="BU60" s="245"/>
    </row>
    <row r="61" spans="2:73" s="71" customFormat="1" ht="20.100000000000001" hidden="1" customHeight="1" x14ac:dyDescent="0.25">
      <c r="B61" s="11"/>
      <c r="C61" s="72"/>
      <c r="D61" s="75"/>
      <c r="E61" s="73"/>
      <c r="F61" s="74"/>
      <c r="G61" s="73"/>
      <c r="H61" s="73"/>
      <c r="I61" s="74"/>
      <c r="J61" s="73"/>
      <c r="K61" s="73"/>
      <c r="L61" s="74"/>
      <c r="M61" s="73"/>
      <c r="N61" s="74"/>
      <c r="O61" s="74"/>
      <c r="P61" s="36"/>
      <c r="Q61" s="67"/>
      <c r="R61" s="87" t="s">
        <v>9</v>
      </c>
      <c r="S61" s="87"/>
      <c r="T61" s="85">
        <v>7500</v>
      </c>
      <c r="U61" s="85"/>
      <c r="V61" s="86">
        <v>17500</v>
      </c>
      <c r="W61" s="74"/>
      <c r="X61" s="74"/>
      <c r="Y61" s="74"/>
      <c r="Z61" s="88">
        <f t="shared" ref="Z61:Z67" si="3">Y64*W64</f>
        <v>0</v>
      </c>
      <c r="AA61" s="89"/>
      <c r="AB61" s="5"/>
      <c r="AC61" s="74"/>
      <c r="AD61" s="68"/>
      <c r="AE61" s="68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T61" s="245"/>
      <c r="AU61" s="245"/>
      <c r="AV61" s="245"/>
      <c r="AW61" s="245"/>
      <c r="AX61" s="245"/>
      <c r="AY61" s="245"/>
      <c r="AZ61" s="245"/>
      <c r="BA61" s="245"/>
      <c r="BB61" s="245"/>
      <c r="BC61" s="245"/>
      <c r="BD61" s="245"/>
      <c r="BE61" s="245"/>
      <c r="BF61" s="245"/>
      <c r="BG61" s="245"/>
      <c r="BH61" s="245"/>
      <c r="BI61" s="245"/>
      <c r="BJ61" s="245"/>
      <c r="BK61" s="245"/>
      <c r="BL61" s="245"/>
      <c r="BM61" s="245"/>
      <c r="BN61" s="245"/>
      <c r="BO61" s="245"/>
      <c r="BP61" s="245"/>
      <c r="BQ61" s="245"/>
      <c r="BR61" s="245"/>
      <c r="BS61" s="245"/>
      <c r="BT61" s="245"/>
      <c r="BU61" s="245"/>
    </row>
    <row r="62" spans="2:73" s="71" customFormat="1" ht="20.100000000000001" hidden="1" customHeight="1" x14ac:dyDescent="0.25">
      <c r="B62" s="76"/>
      <c r="C62" s="77"/>
      <c r="D62" s="78"/>
      <c r="E62" s="73"/>
      <c r="F62" s="78"/>
      <c r="G62" s="50"/>
      <c r="H62" s="50"/>
      <c r="I62" s="74"/>
      <c r="J62" s="73"/>
      <c r="K62" s="73"/>
      <c r="L62" s="74"/>
      <c r="M62" s="78"/>
      <c r="N62" s="74"/>
      <c r="O62" s="74"/>
      <c r="P62" s="36"/>
      <c r="Q62" s="67"/>
      <c r="R62" s="90"/>
      <c r="S62" s="90"/>
      <c r="T62" s="85">
        <v>17500</v>
      </c>
      <c r="U62" s="85"/>
      <c r="V62" s="86">
        <v>30000</v>
      </c>
      <c r="W62" s="68"/>
      <c r="X62" s="68"/>
      <c r="Y62" s="68"/>
      <c r="Z62" s="88">
        <f t="shared" si="3"/>
        <v>0</v>
      </c>
      <c r="AA62" s="89"/>
      <c r="AB62" s="5"/>
      <c r="AC62" s="74"/>
      <c r="AD62" s="68"/>
      <c r="AE62" s="68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T62" s="245"/>
      <c r="AU62" s="245"/>
      <c r="AV62" s="245"/>
      <c r="AW62" s="245"/>
      <c r="AX62" s="245"/>
      <c r="AY62" s="245"/>
      <c r="AZ62" s="245"/>
      <c r="BA62" s="245"/>
      <c r="BB62" s="245"/>
      <c r="BC62" s="245"/>
      <c r="BD62" s="245"/>
      <c r="BE62" s="245"/>
      <c r="BF62" s="245"/>
      <c r="BG62" s="245"/>
      <c r="BH62" s="245"/>
      <c r="BI62" s="245"/>
      <c r="BJ62" s="245"/>
      <c r="BK62" s="245"/>
      <c r="BL62" s="245"/>
      <c r="BM62" s="245"/>
      <c r="BN62" s="245"/>
      <c r="BO62" s="245"/>
      <c r="BP62" s="245"/>
      <c r="BQ62" s="245"/>
      <c r="BR62" s="245"/>
      <c r="BS62" s="245"/>
      <c r="BT62" s="245"/>
      <c r="BU62" s="245"/>
    </row>
    <row r="63" spans="2:73" s="71" customFormat="1" ht="20.100000000000001" hidden="1" customHeight="1" x14ac:dyDescent="0.25">
      <c r="B63" s="51"/>
      <c r="C63" s="79"/>
      <c r="D63" s="50"/>
      <c r="E63" s="80"/>
      <c r="F63" s="50"/>
      <c r="G63" s="7"/>
      <c r="H63" s="7"/>
      <c r="I63" s="74"/>
      <c r="J63" s="50"/>
      <c r="K63" s="50"/>
      <c r="L63" s="73"/>
      <c r="M63" s="50"/>
      <c r="N63" s="73"/>
      <c r="O63" s="74"/>
      <c r="P63" s="36"/>
      <c r="Q63" s="67"/>
      <c r="R63" s="90"/>
      <c r="S63" s="90"/>
      <c r="T63" s="85">
        <v>30000</v>
      </c>
      <c r="U63" s="85"/>
      <c r="V63" s="86">
        <v>45495</v>
      </c>
      <c r="W63" s="68"/>
      <c r="X63" s="68"/>
      <c r="Y63" s="68"/>
      <c r="Z63" s="88">
        <f t="shared" si="3"/>
        <v>0</v>
      </c>
      <c r="AA63" s="89"/>
      <c r="AB63" s="5"/>
      <c r="AC63" s="74"/>
      <c r="AD63" s="68"/>
      <c r="AE63" s="68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T63" s="245"/>
      <c r="AU63" s="245"/>
      <c r="AV63" s="245"/>
      <c r="AW63" s="245"/>
      <c r="AX63" s="245"/>
      <c r="AY63" s="245"/>
      <c r="AZ63" s="245"/>
      <c r="BA63" s="245"/>
      <c r="BB63" s="245"/>
      <c r="BC63" s="245"/>
      <c r="BD63" s="245"/>
      <c r="BE63" s="245"/>
      <c r="BF63" s="245"/>
      <c r="BG63" s="245"/>
      <c r="BH63" s="245"/>
      <c r="BI63" s="245"/>
      <c r="BJ63" s="245"/>
      <c r="BK63" s="245"/>
      <c r="BL63" s="245"/>
      <c r="BM63" s="245"/>
      <c r="BN63" s="245"/>
      <c r="BO63" s="245"/>
      <c r="BP63" s="245"/>
      <c r="BQ63" s="245"/>
      <c r="BR63" s="245"/>
      <c r="BS63" s="245"/>
      <c r="BT63" s="245"/>
      <c r="BU63" s="245"/>
    </row>
    <row r="64" spans="2:73" s="71" customFormat="1" ht="20.100000000000001" hidden="1" customHeight="1" x14ac:dyDescent="0.25">
      <c r="B64" s="51"/>
      <c r="C64" s="79"/>
      <c r="D64" s="50"/>
      <c r="E64" s="78"/>
      <c r="F64" s="7"/>
      <c r="G64" s="74"/>
      <c r="H64" s="74"/>
      <c r="I64" s="74"/>
      <c r="J64" s="7"/>
      <c r="K64" s="7"/>
      <c r="L64" s="78"/>
      <c r="M64" s="7"/>
      <c r="N64" s="78"/>
      <c r="O64" s="74"/>
      <c r="P64" s="36"/>
      <c r="Q64" s="67"/>
      <c r="R64" s="90"/>
      <c r="S64" s="90"/>
      <c r="T64" s="85">
        <v>45495</v>
      </c>
      <c r="U64" s="85"/>
      <c r="V64" s="86">
        <v>64095</v>
      </c>
      <c r="W64" s="91">
        <v>4.5600000000000002E-2</v>
      </c>
      <c r="X64" s="86" t="str">
        <f t="shared" ref="X64:X69" si="4">IF($R$11+$X$23+$Z$11&gt;V60,"oui","non")</f>
        <v>non</v>
      </c>
      <c r="Y64" s="86">
        <f>IF(X64="oui",V60,R11+X23+Z11)</f>
        <v>0</v>
      </c>
      <c r="Z64" s="88">
        <f t="shared" si="3"/>
        <v>0</v>
      </c>
      <c r="AA64" s="89"/>
      <c r="AB64" s="5"/>
      <c r="AC64" s="74"/>
      <c r="AD64" s="68"/>
      <c r="AE64" s="68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T64" s="245"/>
      <c r="AU64" s="245"/>
      <c r="AV64" s="245"/>
      <c r="AW64" s="245"/>
      <c r="AX64" s="245"/>
      <c r="AY64" s="245"/>
      <c r="AZ64" s="245"/>
      <c r="BA64" s="245"/>
      <c r="BB64" s="245"/>
      <c r="BC64" s="245"/>
      <c r="BD64" s="245"/>
      <c r="BE64" s="245"/>
      <c r="BF64" s="245"/>
      <c r="BG64" s="245"/>
      <c r="BH64" s="245"/>
      <c r="BI64" s="245"/>
      <c r="BJ64" s="245"/>
      <c r="BK64" s="245"/>
      <c r="BL64" s="245"/>
      <c r="BM64" s="245"/>
      <c r="BN64" s="245"/>
      <c r="BO64" s="245"/>
      <c r="BP64" s="245"/>
      <c r="BQ64" s="245"/>
      <c r="BR64" s="245"/>
      <c r="BS64" s="245"/>
      <c r="BT64" s="245"/>
      <c r="BU64" s="245"/>
    </row>
    <row r="65" spans="2:73" s="71" customFormat="1" ht="20.100000000000001" hidden="1" customHeight="1" x14ac:dyDescent="0.25">
      <c r="B65" s="51"/>
      <c r="C65" s="82"/>
      <c r="D65" s="83"/>
      <c r="E65" s="78"/>
      <c r="F65" s="74"/>
      <c r="G65" s="74"/>
      <c r="H65" s="74"/>
      <c r="I65" s="74"/>
      <c r="J65" s="74"/>
      <c r="K65" s="74"/>
      <c r="L65" s="50"/>
      <c r="M65" s="74"/>
      <c r="N65" s="50"/>
      <c r="O65" s="74"/>
      <c r="P65" s="36"/>
      <c r="Q65" s="67"/>
      <c r="R65" s="90"/>
      <c r="S65" s="90"/>
      <c r="T65" s="85">
        <v>64095</v>
      </c>
      <c r="U65" s="85"/>
      <c r="V65" s="86">
        <v>250095</v>
      </c>
      <c r="W65" s="91">
        <v>2.8500000000000001E-2</v>
      </c>
      <c r="X65" s="86" t="str">
        <f t="shared" si="4"/>
        <v>non</v>
      </c>
      <c r="Y65" s="86">
        <f>IF(X65="oui",V61-V60,Données!$R$11+$X$23-Y64)</f>
        <v>0</v>
      </c>
      <c r="Z65" s="88">
        <f t="shared" si="3"/>
        <v>0</v>
      </c>
      <c r="AA65" s="89"/>
      <c r="AB65" s="5"/>
      <c r="AC65" s="74"/>
      <c r="AD65" s="68"/>
      <c r="AE65" s="68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T65" s="245"/>
      <c r="AU65" s="245"/>
      <c r="AV65" s="245"/>
      <c r="AW65" s="245"/>
      <c r="AX65" s="245"/>
      <c r="AY65" s="245"/>
      <c r="AZ65" s="245"/>
      <c r="BA65" s="245"/>
      <c r="BB65" s="245"/>
      <c r="BC65" s="245"/>
      <c r="BD65" s="245"/>
      <c r="BE65" s="245"/>
      <c r="BF65" s="245"/>
      <c r="BG65" s="245"/>
      <c r="BH65" s="245"/>
      <c r="BI65" s="245"/>
      <c r="BJ65" s="245"/>
      <c r="BK65" s="245"/>
      <c r="BL65" s="245"/>
      <c r="BM65" s="245"/>
      <c r="BN65" s="245"/>
      <c r="BO65" s="245"/>
      <c r="BP65" s="245"/>
      <c r="BQ65" s="245"/>
      <c r="BR65" s="245"/>
      <c r="BS65" s="245"/>
      <c r="BT65" s="245"/>
      <c r="BU65" s="245"/>
    </row>
    <row r="66" spans="2:73" s="71" customFormat="1" ht="20.100000000000001" hidden="1" customHeight="1" x14ac:dyDescent="0.25">
      <c r="B66" s="11"/>
      <c r="C66" s="72"/>
      <c r="D66" s="83"/>
      <c r="E66" s="73"/>
      <c r="F66" s="74"/>
      <c r="G66" s="74"/>
      <c r="H66" s="74"/>
      <c r="I66" s="74"/>
      <c r="J66" s="74"/>
      <c r="K66" s="74"/>
      <c r="L66" s="7"/>
      <c r="M66" s="74"/>
      <c r="N66" s="7"/>
      <c r="O66" s="74"/>
      <c r="P66" s="36"/>
      <c r="Q66" s="67"/>
      <c r="R66" s="90"/>
      <c r="S66" s="90"/>
      <c r="T66" s="85">
        <v>250095</v>
      </c>
      <c r="U66" s="85"/>
      <c r="V66" s="86"/>
      <c r="W66" s="91">
        <v>2.2800000000000001E-2</v>
      </c>
      <c r="X66" s="86" t="str">
        <f t="shared" si="4"/>
        <v>non</v>
      </c>
      <c r="Y66" s="86">
        <f>IF(X66="oui",V62-V61,Données!$R$11+$X$23-Y65-Y64)</f>
        <v>0</v>
      </c>
      <c r="Z66" s="88">
        <f t="shared" si="3"/>
        <v>0</v>
      </c>
      <c r="AA66" s="89"/>
      <c r="AB66" s="5"/>
      <c r="AC66" s="74"/>
      <c r="AD66" s="68"/>
      <c r="AE66" s="68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T66" s="245"/>
      <c r="AU66" s="245"/>
      <c r="AV66" s="245"/>
      <c r="AW66" s="245"/>
      <c r="AX66" s="245"/>
      <c r="AY66" s="245"/>
      <c r="AZ66" s="245"/>
      <c r="BA66" s="245"/>
      <c r="BB66" s="245"/>
      <c r="BC66" s="245"/>
      <c r="BD66" s="245"/>
      <c r="BE66" s="245"/>
      <c r="BF66" s="245"/>
      <c r="BG66" s="245"/>
      <c r="BH66" s="245"/>
      <c r="BI66" s="245"/>
      <c r="BJ66" s="245"/>
      <c r="BK66" s="245"/>
      <c r="BL66" s="245"/>
      <c r="BM66" s="245"/>
      <c r="BN66" s="245"/>
      <c r="BO66" s="245"/>
      <c r="BP66" s="245"/>
      <c r="BQ66" s="245"/>
      <c r="BR66" s="245"/>
      <c r="BS66" s="245"/>
      <c r="BT66" s="245"/>
      <c r="BU66" s="245"/>
    </row>
    <row r="67" spans="2:73" s="71" customFormat="1" ht="20.100000000000001" hidden="1" customHeight="1" x14ac:dyDescent="0.25">
      <c r="B67" s="11"/>
      <c r="C67" s="72"/>
      <c r="D67" s="83"/>
      <c r="E67" s="73"/>
      <c r="F67" s="74"/>
      <c r="G67" s="74"/>
      <c r="H67" s="74"/>
      <c r="I67" s="73"/>
      <c r="J67" s="74"/>
      <c r="K67" s="74"/>
      <c r="L67" s="74"/>
      <c r="M67" s="74"/>
      <c r="N67" s="74"/>
      <c r="O67" s="74"/>
      <c r="P67" s="36"/>
      <c r="Q67" s="67"/>
      <c r="R67" s="90"/>
      <c r="S67" s="90"/>
      <c r="T67" s="94"/>
      <c r="U67" s="94"/>
      <c r="V67" s="94"/>
      <c r="W67" s="91">
        <v>1.7100000000000001E-2</v>
      </c>
      <c r="X67" s="86" t="str">
        <f t="shared" si="4"/>
        <v>non</v>
      </c>
      <c r="Y67" s="86">
        <f>IF(X67="oui",V63-V62,Données!$R$11+$T$23-Y66-Y65-Y64)</f>
        <v>0</v>
      </c>
      <c r="Z67" s="88">
        <f t="shared" si="3"/>
        <v>0</v>
      </c>
      <c r="AA67" s="89"/>
      <c r="AB67" s="5"/>
      <c r="AC67" s="68"/>
      <c r="AD67" s="68"/>
      <c r="AE67" s="68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T67" s="245"/>
      <c r="AU67" s="245"/>
      <c r="AV67" s="245"/>
      <c r="AW67" s="245"/>
      <c r="AX67" s="245"/>
      <c r="AY67" s="245"/>
      <c r="AZ67" s="245"/>
      <c r="BA67" s="245"/>
      <c r="BB67" s="245"/>
      <c r="BC67" s="245"/>
      <c r="BD67" s="245"/>
      <c r="BE67" s="245"/>
      <c r="BF67" s="245"/>
      <c r="BG67" s="245"/>
      <c r="BH67" s="245"/>
      <c r="BI67" s="245"/>
      <c r="BJ67" s="245"/>
      <c r="BK67" s="245"/>
      <c r="BL67" s="245"/>
      <c r="BM67" s="245"/>
      <c r="BN67" s="245"/>
      <c r="BO67" s="245"/>
      <c r="BP67" s="245"/>
      <c r="BQ67" s="245"/>
      <c r="BR67" s="245"/>
      <c r="BS67" s="245"/>
      <c r="BT67" s="245"/>
      <c r="BU67" s="245"/>
    </row>
    <row r="68" spans="2:73" s="71" customFormat="1" ht="20.100000000000001" hidden="1" customHeight="1" x14ac:dyDescent="0.25">
      <c r="B68" s="11"/>
      <c r="C68" s="72"/>
      <c r="D68" s="83"/>
      <c r="E68" s="73"/>
      <c r="F68" s="74"/>
      <c r="G68" s="74"/>
      <c r="H68" s="74"/>
      <c r="I68" s="50"/>
      <c r="J68" s="74"/>
      <c r="K68" s="74"/>
      <c r="L68" s="74"/>
      <c r="M68" s="74"/>
      <c r="N68" s="74"/>
      <c r="O68" s="74"/>
      <c r="P68" s="36"/>
      <c r="Q68" s="67"/>
      <c r="R68" s="95" t="s">
        <v>10</v>
      </c>
      <c r="S68" s="95"/>
      <c r="T68" s="85">
        <v>0</v>
      </c>
      <c r="U68" s="85"/>
      <c r="V68" s="86">
        <v>7500</v>
      </c>
      <c r="W68" s="91">
        <v>1.14E-2</v>
      </c>
      <c r="X68" s="86" t="str">
        <f t="shared" si="4"/>
        <v>non</v>
      </c>
      <c r="Y68" s="86">
        <f>IF(X68="oui",V64-V63,Données!$R$11+$X$23-Y67-Y66-Y65-Y64)</f>
        <v>0</v>
      </c>
      <c r="Z68" s="90"/>
      <c r="AA68" s="89"/>
      <c r="AB68" s="5"/>
      <c r="AC68" s="68"/>
      <c r="AD68" s="68"/>
      <c r="AE68" s="68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T68" s="245"/>
      <c r="AU68" s="245"/>
      <c r="AV68" s="245"/>
      <c r="AW68" s="245"/>
      <c r="AX68" s="245"/>
      <c r="AY68" s="245"/>
      <c r="AZ68" s="245"/>
      <c r="BA68" s="245"/>
      <c r="BB68" s="245"/>
      <c r="BC68" s="245"/>
      <c r="BD68" s="245"/>
      <c r="BE68" s="245"/>
      <c r="BF68" s="245"/>
      <c r="BG68" s="245"/>
      <c r="BH68" s="245"/>
      <c r="BI68" s="245"/>
      <c r="BJ68" s="245"/>
      <c r="BK68" s="245"/>
      <c r="BL68" s="245"/>
      <c r="BM68" s="245"/>
      <c r="BN68" s="245"/>
      <c r="BO68" s="245"/>
      <c r="BP68" s="245"/>
      <c r="BQ68" s="245"/>
      <c r="BR68" s="245"/>
      <c r="BS68" s="245"/>
      <c r="BT68" s="245"/>
      <c r="BU68" s="245"/>
    </row>
    <row r="69" spans="2:73" s="71" customFormat="1" ht="20.100000000000001" hidden="1" customHeight="1" x14ac:dyDescent="0.2">
      <c r="B69" s="11"/>
      <c r="C69" s="72"/>
      <c r="D69" s="75"/>
      <c r="E69" s="73"/>
      <c r="F69" s="74"/>
      <c r="G69" s="74"/>
      <c r="H69" s="74"/>
      <c r="I69" s="7"/>
      <c r="J69" s="74"/>
      <c r="K69" s="74"/>
      <c r="L69" s="74"/>
      <c r="M69" s="74"/>
      <c r="N69" s="74"/>
      <c r="O69" s="74"/>
      <c r="P69" s="36"/>
      <c r="Q69" s="67"/>
      <c r="R69" s="96" t="s">
        <v>11</v>
      </c>
      <c r="S69" s="96"/>
      <c r="T69" s="85">
        <v>7500</v>
      </c>
      <c r="U69" s="85"/>
      <c r="V69" s="86">
        <v>17500</v>
      </c>
      <c r="W69" s="91">
        <v>5.7000000000000002E-3</v>
      </c>
      <c r="X69" s="86" t="str">
        <f t="shared" si="4"/>
        <v>non</v>
      </c>
      <c r="Y69" s="86">
        <f>IF(X69="oui",V65-V64,Données!$R$11+$X$23-Y68-Y67-Y66-Y65-Y64)</f>
        <v>0</v>
      </c>
      <c r="Z69" s="88">
        <f t="shared" ref="Z69:Z75" si="5">Y72*W72</f>
        <v>0</v>
      </c>
      <c r="AA69" s="89"/>
      <c r="AB69" s="5"/>
      <c r="AC69" s="72"/>
      <c r="AD69" s="92">
        <v>0</v>
      </c>
      <c r="AE69" s="68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T69" s="245"/>
      <c r="AU69" s="245"/>
      <c r="AV69" s="245"/>
      <c r="AW69" s="245"/>
      <c r="AX69" s="245"/>
      <c r="AY69" s="245"/>
      <c r="AZ69" s="245"/>
      <c r="BA69" s="245"/>
      <c r="BB69" s="245"/>
      <c r="BC69" s="245"/>
      <c r="BD69" s="245"/>
      <c r="BE69" s="245"/>
      <c r="BF69" s="245"/>
      <c r="BG69" s="245"/>
      <c r="BH69" s="245"/>
      <c r="BI69" s="245"/>
      <c r="BJ69" s="245"/>
      <c r="BK69" s="245"/>
      <c r="BL69" s="245"/>
      <c r="BM69" s="245"/>
      <c r="BN69" s="245"/>
      <c r="BO69" s="245"/>
      <c r="BP69" s="245"/>
      <c r="BQ69" s="245"/>
      <c r="BR69" s="245"/>
      <c r="BS69" s="245"/>
      <c r="BT69" s="245"/>
      <c r="BU69" s="245"/>
    </row>
    <row r="70" spans="2:73" s="71" customFormat="1" ht="20.100000000000001" hidden="1" customHeight="1" x14ac:dyDescent="0.2">
      <c r="B70" s="11"/>
      <c r="C70" s="72"/>
      <c r="D70" s="75"/>
      <c r="E70" s="73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36"/>
      <c r="Q70" s="67"/>
      <c r="R70" s="96"/>
      <c r="S70" s="96"/>
      <c r="T70" s="85">
        <v>17500</v>
      </c>
      <c r="U70" s="85"/>
      <c r="V70" s="86">
        <v>30000</v>
      </c>
      <c r="W70" s="91">
        <v>5.6999999999999998E-4</v>
      </c>
      <c r="X70" s="86" t="s">
        <v>1</v>
      </c>
      <c r="Y70" s="86">
        <f>IF(R11+X23+Z11&gt;=T66,R11+X23-Z11,0)</f>
        <v>0</v>
      </c>
      <c r="Z70" s="88">
        <f t="shared" si="5"/>
        <v>0</v>
      </c>
      <c r="AA70" s="89"/>
      <c r="AB70" s="5"/>
      <c r="AC70" s="7"/>
      <c r="AD70" s="92">
        <v>25000</v>
      </c>
      <c r="AE70" s="92">
        <v>391.1</v>
      </c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T70" s="245"/>
      <c r="AU70" s="245"/>
      <c r="AV70" s="245"/>
      <c r="AW70" s="245"/>
      <c r="AX70" s="245"/>
      <c r="AY70" s="245"/>
      <c r="AZ70" s="245"/>
      <c r="BA70" s="245"/>
      <c r="BB70" s="245"/>
      <c r="BC70" s="245"/>
      <c r="BD70" s="245"/>
      <c r="BE70" s="245"/>
      <c r="BF70" s="245"/>
      <c r="BG70" s="245"/>
      <c r="BH70" s="245"/>
      <c r="BI70" s="245"/>
      <c r="BJ70" s="245"/>
      <c r="BK70" s="245"/>
      <c r="BL70" s="245"/>
      <c r="BM70" s="245"/>
      <c r="BN70" s="245"/>
      <c r="BO70" s="245"/>
      <c r="BP70" s="245"/>
      <c r="BQ70" s="245"/>
      <c r="BR70" s="245"/>
      <c r="BS70" s="245"/>
      <c r="BT70" s="245"/>
      <c r="BU70" s="245"/>
    </row>
    <row r="71" spans="2:73" s="71" customFormat="1" ht="20.100000000000001" hidden="1" customHeight="1" x14ac:dyDescent="0.2">
      <c r="B71" s="11"/>
      <c r="C71" s="82"/>
      <c r="D71" s="75"/>
      <c r="E71" s="93"/>
      <c r="F71" s="74"/>
      <c r="G71" s="64"/>
      <c r="H71" s="64"/>
      <c r="I71" s="74"/>
      <c r="J71" s="74"/>
      <c r="K71" s="74"/>
      <c r="L71" s="74"/>
      <c r="M71" s="74"/>
      <c r="N71" s="74"/>
      <c r="O71" s="74"/>
      <c r="P71" s="36"/>
      <c r="Q71" s="67"/>
      <c r="R71" s="89"/>
      <c r="S71" s="89"/>
      <c r="T71" s="85">
        <v>30000</v>
      </c>
      <c r="U71" s="85"/>
      <c r="V71" s="86">
        <v>45495</v>
      </c>
      <c r="W71" s="90"/>
      <c r="X71" s="90"/>
      <c r="Y71" s="90"/>
      <c r="Z71" s="88">
        <f t="shared" si="5"/>
        <v>0</v>
      </c>
      <c r="AA71" s="89"/>
      <c r="AB71" s="5"/>
      <c r="AC71" s="11"/>
      <c r="AD71" s="92">
        <v>30000</v>
      </c>
      <c r="AE71" s="92">
        <v>391.1</v>
      </c>
      <c r="AF71" s="7"/>
      <c r="AG71" s="7"/>
      <c r="AH71" s="7"/>
      <c r="AK71" s="7"/>
      <c r="AL71" s="7"/>
      <c r="AM71" s="7"/>
      <c r="AN71" s="7"/>
      <c r="AO71" s="7"/>
      <c r="AP71" s="7"/>
      <c r="AQ71" s="7"/>
      <c r="AT71" s="245"/>
      <c r="AU71" s="245"/>
      <c r="AV71" s="245"/>
      <c r="AW71" s="245"/>
      <c r="AX71" s="245"/>
      <c r="AY71" s="245"/>
      <c r="AZ71" s="245"/>
      <c r="BA71" s="245"/>
      <c r="BB71" s="245"/>
      <c r="BC71" s="245"/>
      <c r="BD71" s="245"/>
      <c r="BE71" s="245"/>
      <c r="BF71" s="245"/>
      <c r="BG71" s="245"/>
      <c r="BH71" s="245"/>
      <c r="BI71" s="245"/>
      <c r="BJ71" s="245"/>
      <c r="BK71" s="245"/>
      <c r="BL71" s="245"/>
      <c r="BM71" s="245"/>
      <c r="BN71" s="245"/>
      <c r="BO71" s="245"/>
      <c r="BP71" s="245"/>
      <c r="BQ71" s="245"/>
      <c r="BR71" s="245"/>
      <c r="BS71" s="245"/>
      <c r="BT71" s="245"/>
      <c r="BU71" s="245"/>
    </row>
    <row r="72" spans="2:73" s="71" customFormat="1" ht="20.100000000000001" hidden="1" customHeight="1" x14ac:dyDescent="0.2">
      <c r="C72" s="24"/>
      <c r="D72" s="93"/>
      <c r="E72" s="73"/>
      <c r="F72" s="64"/>
      <c r="G72" s="74"/>
      <c r="H72" s="74"/>
      <c r="I72" s="74"/>
      <c r="J72" s="64"/>
      <c r="K72" s="64"/>
      <c r="L72" s="74"/>
      <c r="M72" s="64"/>
      <c r="N72" s="74"/>
      <c r="O72" s="74"/>
      <c r="P72" s="36"/>
      <c r="Q72" s="67"/>
      <c r="R72" s="89"/>
      <c r="S72" s="89"/>
      <c r="T72" s="85">
        <v>45495</v>
      </c>
      <c r="U72" s="85"/>
      <c r="V72" s="86">
        <v>64095</v>
      </c>
      <c r="W72" s="91">
        <v>1.7100000000000001E-2</v>
      </c>
      <c r="X72" s="86" t="str">
        <f t="shared" ref="X72:X77" si="6">IF($R$11+$X$23+$Z$11&gt;V68,"oui","non")</f>
        <v>non</v>
      </c>
      <c r="Y72" s="86">
        <f>IF(X72="oui",V68,R11+X23+Z11)</f>
        <v>0</v>
      </c>
      <c r="Z72" s="88">
        <f t="shared" si="5"/>
        <v>0</v>
      </c>
      <c r="AA72" s="89"/>
      <c r="AB72" s="5"/>
      <c r="AC72" s="7"/>
      <c r="AD72" s="92">
        <v>40000</v>
      </c>
      <c r="AE72" s="92">
        <v>423.98</v>
      </c>
      <c r="AF72" s="7"/>
      <c r="AG72" s="7"/>
      <c r="AH72" s="7"/>
      <c r="AK72" s="7"/>
      <c r="AL72" s="7"/>
      <c r="AM72" s="7"/>
      <c r="AN72" s="7"/>
      <c r="AO72" s="7"/>
      <c r="AP72" s="7"/>
      <c r="AQ72" s="7"/>
      <c r="AT72" s="245"/>
      <c r="AU72" s="245"/>
      <c r="AV72" s="245"/>
      <c r="AW72" s="245"/>
      <c r="AX72" s="245"/>
      <c r="AY72" s="245"/>
      <c r="AZ72" s="245"/>
      <c r="BA72" s="245"/>
      <c r="BB72" s="245"/>
      <c r="BC72" s="245"/>
      <c r="BD72" s="245"/>
      <c r="BE72" s="245"/>
      <c r="BF72" s="245"/>
      <c r="BG72" s="245"/>
      <c r="BH72" s="245"/>
      <c r="BI72" s="245"/>
      <c r="BJ72" s="245"/>
      <c r="BK72" s="245"/>
      <c r="BL72" s="245"/>
      <c r="BM72" s="245"/>
      <c r="BN72" s="245"/>
      <c r="BO72" s="245"/>
      <c r="BP72" s="245"/>
      <c r="BQ72" s="245"/>
      <c r="BR72" s="245"/>
      <c r="BS72" s="245"/>
      <c r="BT72" s="245"/>
      <c r="BU72" s="245"/>
    </row>
    <row r="73" spans="2:73" s="71" customFormat="1" ht="20.100000000000001" hidden="1" customHeight="1" x14ac:dyDescent="0.2">
      <c r="B73" s="81"/>
      <c r="C73" s="72"/>
      <c r="D73" s="83"/>
      <c r="E73" s="73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13"/>
      <c r="Q73" s="67"/>
      <c r="R73" s="89"/>
      <c r="S73" s="89"/>
      <c r="T73" s="85">
        <v>64095</v>
      </c>
      <c r="U73" s="85"/>
      <c r="V73" s="86">
        <v>250095</v>
      </c>
      <c r="W73" s="91">
        <v>1.3679999999999999E-2</v>
      </c>
      <c r="X73" s="86" t="str">
        <f t="shared" si="6"/>
        <v>non</v>
      </c>
      <c r="Y73" s="86">
        <f>IF(X73="oui",V69-V68,($R$11+$X$23+$Z$11)-Y72)</f>
        <v>0</v>
      </c>
      <c r="Z73" s="88">
        <f t="shared" si="5"/>
        <v>0</v>
      </c>
      <c r="AA73" s="89"/>
      <c r="AB73" s="5"/>
      <c r="AC73" s="68"/>
      <c r="AD73" s="92">
        <v>50000</v>
      </c>
      <c r="AE73" s="92">
        <v>431.08</v>
      </c>
      <c r="AF73" s="7"/>
      <c r="AG73" s="7"/>
      <c r="AH73" s="7"/>
      <c r="AK73" s="7"/>
      <c r="AL73" s="7"/>
      <c r="AM73" s="7"/>
      <c r="AN73" s="7"/>
      <c r="AO73" s="7"/>
      <c r="AP73" s="7"/>
      <c r="AQ73" s="7"/>
      <c r="AT73" s="245"/>
      <c r="AU73" s="245"/>
      <c r="AV73" s="245"/>
      <c r="AW73" s="245"/>
      <c r="AX73" s="245"/>
      <c r="AY73" s="245"/>
      <c r="AZ73" s="245"/>
      <c r="BA73" s="245"/>
      <c r="BB73" s="245"/>
      <c r="BC73" s="245"/>
      <c r="BD73" s="245"/>
      <c r="BE73" s="245"/>
      <c r="BF73" s="245"/>
      <c r="BG73" s="245"/>
      <c r="BH73" s="245"/>
      <c r="BI73" s="245"/>
      <c r="BJ73" s="245"/>
      <c r="BK73" s="245"/>
      <c r="BL73" s="245"/>
      <c r="BM73" s="245"/>
      <c r="BN73" s="245"/>
      <c r="BO73" s="245"/>
      <c r="BP73" s="245"/>
      <c r="BQ73" s="245"/>
      <c r="BR73" s="245"/>
      <c r="BS73" s="245"/>
      <c r="BT73" s="245"/>
      <c r="BU73" s="245"/>
    </row>
    <row r="74" spans="2:73" s="71" customFormat="1" ht="20.100000000000001" hidden="1" customHeight="1" x14ac:dyDescent="0.2">
      <c r="B74" s="11"/>
      <c r="C74" s="72"/>
      <c r="D74" s="83"/>
      <c r="E74" s="73"/>
      <c r="F74" s="74"/>
      <c r="G74" s="74"/>
      <c r="H74" s="74"/>
      <c r="I74" s="74"/>
      <c r="J74" s="74"/>
      <c r="K74" s="74"/>
      <c r="L74" s="64"/>
      <c r="M74" s="74"/>
      <c r="N74" s="64"/>
      <c r="O74" s="74"/>
      <c r="P74" s="13"/>
      <c r="Q74" s="67"/>
      <c r="R74" s="89"/>
      <c r="S74" s="89"/>
      <c r="T74" s="85">
        <v>250095</v>
      </c>
      <c r="U74" s="85"/>
      <c r="V74" s="86"/>
      <c r="W74" s="91">
        <v>9.1199999999999996E-3</v>
      </c>
      <c r="X74" s="86" t="str">
        <f t="shared" si="6"/>
        <v>non</v>
      </c>
      <c r="Y74" s="86">
        <f>IF(X74="oui",V70-V69,($R$11+$X$23+$Z$11)-Y73-Y72)</f>
        <v>0</v>
      </c>
      <c r="Z74" s="88">
        <f t="shared" si="5"/>
        <v>0</v>
      </c>
      <c r="AA74" s="89"/>
      <c r="AB74" s="5"/>
      <c r="AC74" s="68"/>
      <c r="AD74" s="92">
        <v>60000</v>
      </c>
      <c r="AE74" s="92">
        <v>453.29</v>
      </c>
      <c r="AF74" s="7"/>
      <c r="AG74" s="7"/>
      <c r="AH74" s="7"/>
      <c r="AK74" s="7"/>
      <c r="AL74" s="7"/>
      <c r="AM74" s="7"/>
      <c r="AN74" s="7"/>
      <c r="AO74" s="7"/>
      <c r="AP74" s="7"/>
      <c r="AQ74" s="7"/>
      <c r="AT74" s="245"/>
      <c r="AU74" s="245"/>
      <c r="AV74" s="245"/>
      <c r="AW74" s="245"/>
      <c r="AX74" s="245"/>
      <c r="AY74" s="245"/>
      <c r="AZ74" s="245"/>
      <c r="BA74" s="245"/>
      <c r="BB74" s="245"/>
      <c r="BC74" s="245"/>
      <c r="BD74" s="245"/>
      <c r="BE74" s="245"/>
      <c r="BF74" s="245"/>
      <c r="BG74" s="245"/>
      <c r="BH74" s="245"/>
      <c r="BI74" s="245"/>
      <c r="BJ74" s="245"/>
      <c r="BK74" s="245"/>
      <c r="BL74" s="245"/>
      <c r="BM74" s="245"/>
      <c r="BN74" s="245"/>
      <c r="BO74" s="245"/>
      <c r="BP74" s="245"/>
      <c r="BQ74" s="245"/>
      <c r="BR74" s="245"/>
      <c r="BS74" s="245"/>
      <c r="BT74" s="245"/>
      <c r="BU74" s="245"/>
    </row>
    <row r="75" spans="2:73" s="71" customFormat="1" ht="20.100000000000001" hidden="1" customHeight="1" x14ac:dyDescent="0.2">
      <c r="B75" s="11"/>
      <c r="C75" s="72"/>
      <c r="D75" s="75"/>
      <c r="E75" s="73"/>
      <c r="F75" s="74"/>
      <c r="G75" s="74"/>
      <c r="H75" s="74"/>
      <c r="I75" s="74"/>
      <c r="J75" s="74"/>
      <c r="K75" s="74"/>
      <c r="L75" s="74"/>
      <c r="M75" s="74"/>
      <c r="N75" s="74"/>
      <c r="O75" s="64"/>
      <c r="P75" s="36"/>
      <c r="Q75" s="67"/>
      <c r="R75" s="89"/>
      <c r="S75" s="89"/>
      <c r="T75" s="97"/>
      <c r="U75" s="97"/>
      <c r="V75" s="97"/>
      <c r="W75" s="91">
        <v>6.8399999999999997E-3</v>
      </c>
      <c r="X75" s="86" t="str">
        <f t="shared" si="6"/>
        <v>non</v>
      </c>
      <c r="Y75" s="86">
        <f>IF(X75="oui",V71-V70,($R$11+$X$23+$Z$11)-Y74-Y73-Y72)</f>
        <v>0</v>
      </c>
      <c r="Z75" s="88">
        <f t="shared" si="5"/>
        <v>0</v>
      </c>
      <c r="AA75" s="89"/>
      <c r="AB75" s="5"/>
      <c r="AC75" s="68"/>
      <c r="AD75" s="92">
        <v>70000</v>
      </c>
      <c r="AE75" s="92">
        <v>464.69</v>
      </c>
      <c r="AF75" s="7"/>
      <c r="AG75" s="7"/>
      <c r="AH75" s="7"/>
      <c r="AK75" s="7"/>
      <c r="AL75" s="7"/>
      <c r="AM75" s="7"/>
      <c r="AN75" s="7"/>
      <c r="AO75" s="7"/>
      <c r="AP75" s="7"/>
      <c r="AQ75" s="7"/>
      <c r="AT75" s="245"/>
      <c r="AU75" s="245"/>
      <c r="AV75" s="245"/>
      <c r="AW75" s="245"/>
      <c r="AX75" s="245"/>
      <c r="AY75" s="245"/>
      <c r="AZ75" s="245"/>
      <c r="BA75" s="245"/>
      <c r="BB75" s="245"/>
      <c r="BC75" s="245"/>
      <c r="BD75" s="245"/>
      <c r="BE75" s="245"/>
      <c r="BF75" s="245"/>
      <c r="BG75" s="245"/>
      <c r="BH75" s="245"/>
      <c r="BI75" s="245"/>
      <c r="BJ75" s="245"/>
      <c r="BK75" s="245"/>
      <c r="BL75" s="245"/>
      <c r="BM75" s="245"/>
      <c r="BN75" s="245"/>
      <c r="BO75" s="245"/>
      <c r="BP75" s="245"/>
      <c r="BQ75" s="245"/>
      <c r="BR75" s="245"/>
      <c r="BS75" s="245"/>
      <c r="BT75" s="245"/>
      <c r="BU75" s="245"/>
    </row>
    <row r="76" spans="2:73" s="71" customFormat="1" ht="20.100000000000001" hidden="1" customHeight="1" x14ac:dyDescent="0.2">
      <c r="B76" s="11"/>
      <c r="C76" s="72"/>
      <c r="D76" s="75"/>
      <c r="E76" s="73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36"/>
      <c r="Q76" s="67"/>
      <c r="R76" s="95" t="s">
        <v>10</v>
      </c>
      <c r="S76" s="95"/>
      <c r="T76" s="85">
        <v>0</v>
      </c>
      <c r="U76" s="85"/>
      <c r="V76" s="86">
        <v>7500</v>
      </c>
      <c r="W76" s="91">
        <v>4.5599999999999998E-3</v>
      </c>
      <c r="X76" s="86" t="str">
        <f t="shared" si="6"/>
        <v>non</v>
      </c>
      <c r="Y76" s="86">
        <f>IF(X76="oui",V72-V71,($R$11+$X$23+$Z$11)-Y75-Y74-Y73-Y72)</f>
        <v>0</v>
      </c>
      <c r="Z76" s="97"/>
      <c r="AA76" s="89"/>
      <c r="AB76" s="5"/>
      <c r="AC76" s="68"/>
      <c r="AD76" s="92">
        <v>80000</v>
      </c>
      <c r="AE76" s="92">
        <v>472.58</v>
      </c>
      <c r="AF76" s="7"/>
      <c r="AG76" s="7"/>
      <c r="AH76" s="7"/>
      <c r="AK76" s="7"/>
      <c r="AL76" s="7"/>
      <c r="AM76" s="7"/>
      <c r="AN76" s="7"/>
      <c r="AO76" s="7"/>
      <c r="AP76" s="7"/>
      <c r="AQ76" s="7"/>
      <c r="AT76" s="245"/>
      <c r="AU76" s="245"/>
      <c r="AV76" s="245"/>
      <c r="AW76" s="245"/>
      <c r="AX76" s="245"/>
      <c r="AY76" s="245"/>
      <c r="AZ76" s="245"/>
      <c r="BA76" s="245"/>
      <c r="BB76" s="245"/>
      <c r="BC76" s="245"/>
      <c r="BD76" s="245"/>
      <c r="BE76" s="245"/>
      <c r="BF76" s="245"/>
      <c r="BG76" s="245"/>
      <c r="BH76" s="245"/>
      <c r="BI76" s="245"/>
      <c r="BJ76" s="245"/>
      <c r="BK76" s="245"/>
      <c r="BL76" s="245"/>
      <c r="BM76" s="245"/>
      <c r="BN76" s="245"/>
      <c r="BO76" s="245"/>
      <c r="BP76" s="245"/>
      <c r="BQ76" s="245"/>
      <c r="BR76" s="245"/>
      <c r="BS76" s="245"/>
      <c r="BT76" s="245"/>
      <c r="BU76" s="245"/>
    </row>
    <row r="77" spans="2:73" s="71" customFormat="1" ht="20.100000000000001" hidden="1" customHeight="1" x14ac:dyDescent="0.2">
      <c r="B77" s="11"/>
      <c r="C77" s="72"/>
      <c r="D77" s="75"/>
      <c r="E77" s="73"/>
      <c r="F77" s="74"/>
      <c r="G77" s="74"/>
      <c r="H77" s="74"/>
      <c r="I77" s="64"/>
      <c r="J77" s="74"/>
      <c r="K77" s="74"/>
      <c r="L77" s="74"/>
      <c r="M77" s="74"/>
      <c r="N77" s="74"/>
      <c r="O77" s="74"/>
      <c r="P77" s="36"/>
      <c r="Q77" s="67"/>
      <c r="R77" s="96" t="s">
        <v>17</v>
      </c>
      <c r="S77" s="96"/>
      <c r="T77" s="85">
        <v>7500</v>
      </c>
      <c r="U77" s="85"/>
      <c r="V77" s="86">
        <v>17500</v>
      </c>
      <c r="W77" s="91">
        <v>2.2799999999999999E-3</v>
      </c>
      <c r="X77" s="86" t="str">
        <f t="shared" si="6"/>
        <v>non</v>
      </c>
      <c r="Y77" s="86">
        <f>IF(X77="oui",V73-V72,($R$11+$X$23+$Z$11)-Y76-Y75-Y74-Y73-Y72)</f>
        <v>0</v>
      </c>
      <c r="Z77" s="88">
        <f t="shared" ref="Z77:Z83" si="7">Y80*W80</f>
        <v>0</v>
      </c>
      <c r="AA77" s="98"/>
      <c r="AB77" s="5"/>
      <c r="AC77" s="68"/>
      <c r="AD77" s="92">
        <v>90000</v>
      </c>
      <c r="AE77" s="92">
        <v>496.1</v>
      </c>
      <c r="AF77" s="7"/>
      <c r="AG77" s="7"/>
      <c r="AH77" s="7"/>
      <c r="AK77" s="7"/>
      <c r="AL77" s="7"/>
      <c r="AM77" s="7"/>
      <c r="AN77" s="7"/>
      <c r="AO77" s="7"/>
      <c r="AP77" s="7"/>
      <c r="AQ77" s="7"/>
      <c r="AT77" s="245"/>
      <c r="AU77" s="245"/>
      <c r="AV77" s="245"/>
      <c r="AW77" s="245"/>
      <c r="AX77" s="245"/>
      <c r="AY77" s="245"/>
      <c r="AZ77" s="245"/>
      <c r="BA77" s="245"/>
      <c r="BB77" s="245"/>
      <c r="BC77" s="245"/>
      <c r="BD77" s="245"/>
      <c r="BE77" s="245"/>
      <c r="BF77" s="245"/>
      <c r="BG77" s="245"/>
      <c r="BH77" s="245"/>
      <c r="BI77" s="245"/>
      <c r="BJ77" s="245"/>
      <c r="BK77" s="245"/>
      <c r="BL77" s="245"/>
      <c r="BM77" s="245"/>
      <c r="BN77" s="245"/>
      <c r="BO77" s="245"/>
      <c r="BP77" s="245"/>
      <c r="BQ77" s="245"/>
      <c r="BR77" s="245"/>
      <c r="BS77" s="245"/>
      <c r="BT77" s="245"/>
      <c r="BU77" s="245"/>
    </row>
    <row r="78" spans="2:73" s="71" customFormat="1" ht="20.100000000000001" hidden="1" customHeight="1" x14ac:dyDescent="0.2">
      <c r="B78" s="11"/>
      <c r="C78" s="72"/>
      <c r="D78" s="75"/>
      <c r="E78" s="64"/>
      <c r="F78" s="74"/>
      <c r="G78" s="74"/>
      <c r="H78" s="74"/>
      <c r="I78" s="74"/>
      <c r="J78" s="74"/>
      <c r="K78" s="74"/>
      <c r="L78" s="74"/>
      <c r="M78" s="74"/>
      <c r="N78" s="74"/>
      <c r="O78" s="74"/>
      <c r="P78" s="36"/>
      <c r="Q78" s="67"/>
      <c r="R78" s="96"/>
      <c r="S78" s="96"/>
      <c r="T78" s="85">
        <v>17500</v>
      </c>
      <c r="U78" s="85"/>
      <c r="V78" s="86">
        <v>30000</v>
      </c>
      <c r="W78" s="99">
        <v>4.5600000000000003E-4</v>
      </c>
      <c r="X78" s="86" t="s">
        <v>1</v>
      </c>
      <c r="Y78" s="86">
        <f>IF((R11+X23+Z11)&gt;=T74,(R11+X23+Z11)-V73,0)</f>
        <v>0</v>
      </c>
      <c r="Z78" s="88">
        <f t="shared" si="7"/>
        <v>0</v>
      </c>
      <c r="AA78" s="98"/>
      <c r="AB78" s="5"/>
      <c r="AC78" s="68"/>
      <c r="AD78" s="92">
        <v>100000</v>
      </c>
      <c r="AE78" s="92">
        <v>501.8</v>
      </c>
      <c r="AF78" s="7"/>
      <c r="AG78" s="7"/>
      <c r="AH78" s="7"/>
      <c r="AK78" s="7"/>
      <c r="AL78" s="7"/>
      <c r="AM78" s="7"/>
      <c r="AN78" s="7"/>
      <c r="AO78" s="7"/>
      <c r="AP78" s="7"/>
      <c r="AQ78" s="7"/>
      <c r="AT78" s="245"/>
      <c r="AU78" s="245"/>
      <c r="AV78" s="245"/>
      <c r="AW78" s="245"/>
      <c r="AX78" s="245"/>
      <c r="AY78" s="245"/>
      <c r="AZ78" s="245"/>
      <c r="BA78" s="245"/>
      <c r="BB78" s="245"/>
      <c r="BC78" s="245"/>
      <c r="BD78" s="245"/>
      <c r="BE78" s="245"/>
      <c r="BF78" s="245"/>
      <c r="BG78" s="245"/>
      <c r="BH78" s="245"/>
      <c r="BI78" s="245"/>
      <c r="BJ78" s="245"/>
      <c r="BK78" s="245"/>
      <c r="BL78" s="245"/>
      <c r="BM78" s="245"/>
      <c r="BN78" s="245"/>
      <c r="BO78" s="245"/>
      <c r="BP78" s="245"/>
      <c r="BQ78" s="245"/>
      <c r="BR78" s="245"/>
      <c r="BS78" s="245"/>
      <c r="BT78" s="245"/>
      <c r="BU78" s="245"/>
    </row>
    <row r="79" spans="2:73" s="71" customFormat="1" ht="20.100000000000001" hidden="1" customHeight="1" x14ac:dyDescent="0.2">
      <c r="B79" s="11"/>
      <c r="C79" s="72"/>
      <c r="D79" s="75"/>
      <c r="E79" s="64"/>
      <c r="F79" s="74"/>
      <c r="G79" s="64"/>
      <c r="H79" s="64"/>
      <c r="I79" s="74"/>
      <c r="J79" s="74"/>
      <c r="K79" s="74"/>
      <c r="L79" s="74"/>
      <c r="M79" s="74"/>
      <c r="N79" s="74"/>
      <c r="O79" s="74"/>
      <c r="P79" s="36"/>
      <c r="Q79" s="67"/>
      <c r="R79" s="89"/>
      <c r="S79" s="89"/>
      <c r="T79" s="85">
        <v>30000</v>
      </c>
      <c r="U79" s="85"/>
      <c r="V79" s="86">
        <v>45495</v>
      </c>
      <c r="W79" s="97"/>
      <c r="X79" s="97"/>
      <c r="Y79" s="97"/>
      <c r="Z79" s="88">
        <f t="shared" si="7"/>
        <v>0</v>
      </c>
      <c r="AA79" s="98"/>
      <c r="AB79" s="5"/>
      <c r="AC79" s="68"/>
      <c r="AD79" s="92">
        <v>125000</v>
      </c>
      <c r="AE79" s="92">
        <v>525.33000000000004</v>
      </c>
      <c r="AF79" s="7"/>
      <c r="AG79" s="7"/>
      <c r="AH79" s="7"/>
      <c r="AK79" s="7"/>
      <c r="AL79" s="7"/>
      <c r="AM79" s="7"/>
      <c r="AN79" s="7"/>
      <c r="AO79" s="7"/>
      <c r="AP79" s="7"/>
      <c r="AQ79" s="7"/>
      <c r="AT79" s="245"/>
      <c r="AU79" s="245"/>
      <c r="AV79" s="245"/>
      <c r="AW79" s="245"/>
      <c r="AX79" s="245"/>
      <c r="AY79" s="245"/>
      <c r="AZ79" s="245"/>
      <c r="BA79" s="245"/>
      <c r="BB79" s="245"/>
      <c r="BC79" s="245"/>
      <c r="BD79" s="245"/>
      <c r="BE79" s="245"/>
      <c r="BF79" s="245"/>
      <c r="BG79" s="245"/>
      <c r="BH79" s="245"/>
      <c r="BI79" s="245"/>
      <c r="BJ79" s="245"/>
      <c r="BK79" s="245"/>
      <c r="BL79" s="245"/>
      <c r="BM79" s="245"/>
      <c r="BN79" s="245"/>
      <c r="BO79" s="245"/>
      <c r="BP79" s="245"/>
      <c r="BQ79" s="245"/>
      <c r="BR79" s="245"/>
      <c r="BS79" s="245"/>
      <c r="BT79" s="245"/>
      <c r="BU79" s="245"/>
    </row>
    <row r="80" spans="2:73" s="71" customFormat="1" ht="20.100000000000001" hidden="1" customHeight="1" x14ac:dyDescent="0.2">
      <c r="C80" s="24"/>
      <c r="D80" s="64"/>
      <c r="E80" s="64"/>
      <c r="F80" s="64"/>
      <c r="G80" s="74"/>
      <c r="H80" s="74"/>
      <c r="I80" s="74"/>
      <c r="J80" s="64"/>
      <c r="K80" s="64"/>
      <c r="L80" s="74"/>
      <c r="M80" s="64"/>
      <c r="N80" s="74"/>
      <c r="O80" s="74"/>
      <c r="P80" s="36"/>
      <c r="Q80" s="67"/>
      <c r="R80" s="89"/>
      <c r="S80" s="89"/>
      <c r="T80" s="85">
        <v>45495</v>
      </c>
      <c r="U80" s="85"/>
      <c r="V80" s="86">
        <v>64095</v>
      </c>
      <c r="W80" s="100">
        <v>3.9899999999999996E-3</v>
      </c>
      <c r="X80" s="86" t="str">
        <f>IF(Z6&gt;V76,"oui","non")</f>
        <v>non</v>
      </c>
      <c r="Y80" s="86">
        <f>IF(X80="oui",V76,Z6)</f>
        <v>0</v>
      </c>
      <c r="Z80" s="88">
        <f t="shared" si="7"/>
        <v>0</v>
      </c>
      <c r="AA80" s="98"/>
      <c r="AB80" s="5"/>
      <c r="AC80" s="7"/>
      <c r="AD80" s="92">
        <v>150000</v>
      </c>
      <c r="AE80" s="92">
        <v>557.97</v>
      </c>
      <c r="AF80" s="7"/>
      <c r="AG80" s="7"/>
      <c r="AH80" s="7"/>
      <c r="AK80" s="7"/>
      <c r="AL80" s="7"/>
      <c r="AM80" s="7"/>
      <c r="AN80" s="7"/>
      <c r="AO80" s="7"/>
      <c r="AP80" s="7"/>
      <c r="AQ80" s="7"/>
      <c r="AT80" s="245"/>
      <c r="AU80" s="245"/>
      <c r="AV80" s="245"/>
      <c r="AW80" s="245"/>
      <c r="AX80" s="245"/>
      <c r="AY80" s="245"/>
      <c r="AZ80" s="245"/>
      <c r="BA80" s="245"/>
      <c r="BB80" s="245"/>
      <c r="BC80" s="245"/>
      <c r="BD80" s="245"/>
      <c r="BE80" s="245"/>
      <c r="BF80" s="245"/>
      <c r="BG80" s="245"/>
      <c r="BH80" s="245"/>
      <c r="BI80" s="245"/>
      <c r="BJ80" s="245"/>
      <c r="BK80" s="245"/>
      <c r="BL80" s="245"/>
      <c r="BM80" s="245"/>
      <c r="BN80" s="245"/>
      <c r="BO80" s="245"/>
      <c r="BP80" s="245"/>
      <c r="BQ80" s="245"/>
      <c r="BR80" s="245"/>
      <c r="BS80" s="245"/>
      <c r="BT80" s="245"/>
      <c r="BU80" s="245"/>
    </row>
    <row r="81" spans="2:73" s="71" customFormat="1" ht="20.100000000000001" hidden="1" customHeight="1" x14ac:dyDescent="0.2">
      <c r="B81" s="81"/>
      <c r="C81" s="72"/>
      <c r="D81" s="75"/>
      <c r="E81" s="23"/>
      <c r="F81" s="74"/>
      <c r="G81" s="74"/>
      <c r="H81" s="74"/>
      <c r="I81" s="74"/>
      <c r="J81" s="74"/>
      <c r="K81" s="74"/>
      <c r="L81" s="74"/>
      <c r="M81" s="74"/>
      <c r="N81" s="74"/>
      <c r="O81" s="74"/>
      <c r="P81" s="36"/>
      <c r="Q81" s="67"/>
      <c r="R81" s="89"/>
      <c r="S81" s="89"/>
      <c r="T81" s="85">
        <v>64095</v>
      </c>
      <c r="U81" s="85"/>
      <c r="V81" s="86">
        <v>250095</v>
      </c>
      <c r="W81" s="100">
        <v>3.4199999999999999E-3</v>
      </c>
      <c r="X81" s="86" t="str">
        <f>IF(Z6&gt;V77,"oui","non")</f>
        <v>non</v>
      </c>
      <c r="Y81" s="86">
        <f>IF(X81="oui",V77-V76,(Z6)-Y80)</f>
        <v>0</v>
      </c>
      <c r="Z81" s="88">
        <f t="shared" si="7"/>
        <v>0</v>
      </c>
      <c r="AA81" s="98"/>
      <c r="AB81" s="5"/>
      <c r="AC81" s="68"/>
      <c r="AD81" s="92">
        <v>175000</v>
      </c>
      <c r="AE81" s="92">
        <v>589.47</v>
      </c>
      <c r="AF81" s="7"/>
      <c r="AG81" s="7"/>
      <c r="AH81" s="7"/>
      <c r="AK81" s="7"/>
      <c r="AL81" s="7"/>
      <c r="AM81" s="7"/>
      <c r="AN81" s="7"/>
      <c r="AO81" s="7"/>
      <c r="AP81" s="7"/>
      <c r="AQ81" s="7"/>
      <c r="AT81" s="245"/>
      <c r="AU81" s="245"/>
      <c r="AV81" s="245"/>
      <c r="AW81" s="245"/>
      <c r="AX81" s="245"/>
      <c r="AY81" s="245"/>
      <c r="AZ81" s="245"/>
      <c r="BA81" s="245"/>
      <c r="BB81" s="245"/>
      <c r="BC81" s="245"/>
      <c r="BD81" s="245"/>
      <c r="BE81" s="245"/>
      <c r="BF81" s="245"/>
      <c r="BG81" s="245"/>
      <c r="BH81" s="245"/>
      <c r="BI81" s="245"/>
      <c r="BJ81" s="245"/>
      <c r="BK81" s="245"/>
      <c r="BL81" s="245"/>
      <c r="BM81" s="245"/>
      <c r="BN81" s="245"/>
      <c r="BO81" s="245"/>
      <c r="BP81" s="245"/>
      <c r="BQ81" s="245"/>
      <c r="BR81" s="245"/>
      <c r="BS81" s="245"/>
      <c r="BT81" s="245"/>
      <c r="BU81" s="245"/>
    </row>
    <row r="82" spans="2:73" s="20" customFormat="1" ht="20.100000000000001" hidden="1" customHeight="1" x14ac:dyDescent="0.2">
      <c r="B82" s="11"/>
      <c r="C82" s="72"/>
      <c r="D82" s="75"/>
      <c r="E82" s="69"/>
      <c r="F82" s="74"/>
      <c r="G82" s="74"/>
      <c r="H82" s="74"/>
      <c r="I82" s="74"/>
      <c r="J82" s="74"/>
      <c r="K82" s="74"/>
      <c r="L82" s="64"/>
      <c r="M82" s="74"/>
      <c r="N82" s="64"/>
      <c r="O82" s="64"/>
      <c r="P82" s="36"/>
      <c r="Q82" s="67"/>
      <c r="R82" s="89"/>
      <c r="S82" s="89"/>
      <c r="T82" s="85">
        <v>250095</v>
      </c>
      <c r="U82" s="85"/>
      <c r="V82" s="86"/>
      <c r="W82" s="100">
        <v>2.2799999999999999E-3</v>
      </c>
      <c r="X82" s="86" t="str">
        <f>IF(Z6&gt;V78,"oui","non")</f>
        <v>non</v>
      </c>
      <c r="Y82" s="86">
        <f>IF(X82="oui",V78-V77,(Z6)-Y81-Y80)</f>
        <v>0</v>
      </c>
      <c r="Z82" s="88">
        <f t="shared" si="7"/>
        <v>0</v>
      </c>
      <c r="AA82" s="98"/>
      <c r="AB82" s="5"/>
      <c r="AC82" s="68"/>
      <c r="AD82" s="92">
        <v>200000</v>
      </c>
      <c r="AE82" s="92">
        <v>623.26</v>
      </c>
      <c r="AF82" s="7"/>
      <c r="AG82" s="7"/>
      <c r="AH82" s="71"/>
      <c r="AK82" s="71"/>
      <c r="AL82" s="71"/>
      <c r="AM82" s="71"/>
      <c r="AN82" s="71"/>
      <c r="AO82" s="71"/>
      <c r="AP82" s="71"/>
      <c r="AQ82" s="71"/>
      <c r="AT82" s="236"/>
      <c r="AU82" s="236"/>
      <c r="AV82" s="236"/>
      <c r="AW82" s="236"/>
      <c r="AX82" s="236"/>
      <c r="AY82" s="236"/>
      <c r="AZ82" s="236"/>
      <c r="BA82" s="236"/>
      <c r="BB82" s="236"/>
      <c r="BC82" s="236"/>
      <c r="BD82" s="236"/>
      <c r="BE82" s="236"/>
      <c r="BF82" s="236"/>
      <c r="BG82" s="236"/>
      <c r="BH82" s="236"/>
      <c r="BI82" s="236"/>
      <c r="BJ82" s="236"/>
      <c r="BK82" s="236"/>
      <c r="BL82" s="236"/>
      <c r="BM82" s="236"/>
      <c r="BN82" s="236"/>
      <c r="BO82" s="236"/>
      <c r="BP82" s="236"/>
      <c r="BQ82" s="236"/>
      <c r="BR82" s="236"/>
      <c r="BS82" s="236"/>
      <c r="BT82" s="236"/>
      <c r="BU82" s="236"/>
    </row>
    <row r="83" spans="2:73" s="20" customFormat="1" ht="20.100000000000001" hidden="1" customHeight="1" x14ac:dyDescent="0.2">
      <c r="B83" s="11"/>
      <c r="C83" s="72"/>
      <c r="D83" s="75"/>
      <c r="E83" s="73"/>
      <c r="F83" s="74"/>
      <c r="G83" s="74"/>
      <c r="H83" s="74"/>
      <c r="I83" s="74"/>
      <c r="J83" s="74"/>
      <c r="K83" s="74"/>
      <c r="L83" s="74"/>
      <c r="M83" s="74"/>
      <c r="N83" s="74"/>
      <c r="O83" s="93"/>
      <c r="P83" s="81"/>
      <c r="Q83" s="54"/>
      <c r="R83" s="68"/>
      <c r="S83" s="68"/>
      <c r="T83" s="68"/>
      <c r="U83" s="68"/>
      <c r="V83" s="68"/>
      <c r="W83" s="100">
        <v>1.7099999999999999E-3</v>
      </c>
      <c r="X83" s="86" t="str">
        <f>IF(Z6&gt;V79,"oui","non")</f>
        <v>non</v>
      </c>
      <c r="Y83" s="86">
        <f>IF(X83="oui",V79-V78,(Z6)-Y82-Y81-Y80)</f>
        <v>0</v>
      </c>
      <c r="Z83" s="88">
        <f t="shared" si="7"/>
        <v>0</v>
      </c>
      <c r="AA83" s="98"/>
      <c r="AB83" s="5"/>
      <c r="AC83" s="68"/>
      <c r="AD83" s="92">
        <v>250000</v>
      </c>
      <c r="AE83" s="92">
        <v>654.66999999999996</v>
      </c>
      <c r="AF83" s="7"/>
      <c r="AG83" s="7"/>
      <c r="AH83" s="71"/>
      <c r="AK83" s="71"/>
      <c r="AL83" s="71"/>
      <c r="AM83" s="71"/>
      <c r="AN83" s="71"/>
      <c r="AO83" s="71"/>
      <c r="AP83" s="71"/>
      <c r="AQ83" s="71"/>
      <c r="AT83" s="236"/>
      <c r="AU83" s="236"/>
      <c r="AV83" s="236"/>
      <c r="AW83" s="236"/>
      <c r="AX83" s="236"/>
      <c r="AY83" s="236"/>
      <c r="AZ83" s="236"/>
      <c r="BA83" s="236"/>
      <c r="BB83" s="236"/>
      <c r="BC83" s="236"/>
      <c r="BD83" s="236"/>
      <c r="BE83" s="236"/>
      <c r="BF83" s="236"/>
      <c r="BG83" s="236"/>
      <c r="BH83" s="236"/>
      <c r="BI83" s="236"/>
      <c r="BJ83" s="236"/>
      <c r="BK83" s="236"/>
      <c r="BL83" s="236"/>
      <c r="BM83" s="236"/>
      <c r="BN83" s="236"/>
      <c r="BO83" s="236"/>
      <c r="BP83" s="236"/>
      <c r="BQ83" s="236"/>
      <c r="BR83" s="236"/>
      <c r="BS83" s="236"/>
      <c r="BT83" s="236"/>
      <c r="BU83" s="236"/>
    </row>
    <row r="84" spans="2:73" s="20" customFormat="1" ht="20.100000000000001" hidden="1" customHeight="1" x14ac:dyDescent="0.2">
      <c r="B84" s="11"/>
      <c r="C84" s="72"/>
      <c r="D84" s="75"/>
      <c r="E84" s="73"/>
      <c r="F84" s="74"/>
      <c r="G84" s="74"/>
      <c r="H84" s="74"/>
      <c r="I84" s="74"/>
      <c r="J84" s="74"/>
      <c r="K84" s="74"/>
      <c r="L84" s="74"/>
      <c r="M84" s="74"/>
      <c r="N84" s="74"/>
      <c r="O84" s="93"/>
      <c r="P84" s="81"/>
      <c r="Q84" s="54"/>
      <c r="R84" s="68"/>
      <c r="S84" s="68"/>
      <c r="T84" s="68"/>
      <c r="U84" s="68"/>
      <c r="V84" s="68"/>
      <c r="W84" s="100">
        <v>1.14E-3</v>
      </c>
      <c r="X84" s="86" t="str">
        <f>IF(Z6&gt;V80,"oui","non")</f>
        <v>non</v>
      </c>
      <c r="Y84" s="86">
        <f>IF(X84="oui",V80-V79,(Z6)-Y83-Y82-Y81-Y80)</f>
        <v>0</v>
      </c>
      <c r="Z84" s="68"/>
      <c r="AA84" s="68"/>
      <c r="AB84" s="68"/>
      <c r="AC84" s="68"/>
      <c r="AD84" s="92">
        <v>500000</v>
      </c>
      <c r="AE84" s="92">
        <v>697.66</v>
      </c>
      <c r="AF84" s="7"/>
      <c r="AG84" s="7"/>
      <c r="AH84" s="71"/>
      <c r="AK84" s="71"/>
      <c r="AL84" s="71"/>
      <c r="AM84" s="71"/>
      <c r="AN84" s="71"/>
      <c r="AO84" s="71"/>
      <c r="AP84" s="71"/>
      <c r="AQ84" s="71"/>
      <c r="AT84" s="236"/>
      <c r="AU84" s="236"/>
      <c r="AV84" s="236"/>
      <c r="AW84" s="236"/>
      <c r="AX84" s="236"/>
      <c r="AY84" s="236"/>
      <c r="AZ84" s="236"/>
      <c r="BA84" s="236"/>
      <c r="BB84" s="236"/>
      <c r="BC84" s="236"/>
      <c r="BD84" s="236"/>
      <c r="BE84" s="236"/>
      <c r="BF84" s="236"/>
      <c r="BG84" s="236"/>
      <c r="BH84" s="236"/>
      <c r="BI84" s="236"/>
      <c r="BJ84" s="236"/>
      <c r="BK84" s="236"/>
      <c r="BL84" s="236"/>
      <c r="BM84" s="236"/>
      <c r="BN84" s="236"/>
      <c r="BO84" s="236"/>
      <c r="BP84" s="236"/>
      <c r="BQ84" s="236"/>
      <c r="BR84" s="236"/>
      <c r="BS84" s="236"/>
      <c r="BT84" s="236"/>
      <c r="BU84" s="236"/>
    </row>
    <row r="85" spans="2:73" s="20" customFormat="1" ht="20.100000000000001" hidden="1" customHeight="1" x14ac:dyDescent="0.2">
      <c r="B85" s="11"/>
      <c r="C85" s="72"/>
      <c r="D85" s="75"/>
      <c r="E85" s="73"/>
      <c r="F85" s="74"/>
      <c r="G85" s="74"/>
      <c r="H85" s="74"/>
      <c r="I85" s="64"/>
      <c r="J85" s="74"/>
      <c r="K85" s="74"/>
      <c r="L85" s="74"/>
      <c r="M85" s="74"/>
      <c r="N85" s="74"/>
      <c r="O85" s="93"/>
      <c r="P85" s="81"/>
      <c r="Q85" s="54"/>
      <c r="R85" s="68"/>
      <c r="S85" s="68"/>
      <c r="T85" s="68"/>
      <c r="U85" s="68"/>
      <c r="V85" s="68"/>
      <c r="W85" s="100">
        <v>5.6999999999999998E-4</v>
      </c>
      <c r="X85" s="86" t="str">
        <f>IF(Z6&gt;V81,"oui","non")</f>
        <v>non</v>
      </c>
      <c r="Y85" s="86">
        <f>IF(X85="oui",V81-V80,(Z6)-Y84-Y83-Y82-Y81-Y80)</f>
        <v>0</v>
      </c>
      <c r="Z85" s="68"/>
      <c r="AA85" s="68"/>
      <c r="AB85" s="68"/>
      <c r="AC85" s="68"/>
      <c r="AD85" s="92">
        <v>1000000000</v>
      </c>
      <c r="AE85" s="92">
        <v>952.92</v>
      </c>
      <c r="AF85" s="7"/>
      <c r="AG85" s="7"/>
      <c r="AH85" s="71"/>
      <c r="AK85" s="71"/>
      <c r="AL85" s="71"/>
      <c r="AM85" s="71"/>
      <c r="AN85" s="71"/>
      <c r="AO85" s="71"/>
      <c r="AP85" s="71"/>
      <c r="AQ85" s="71"/>
      <c r="AT85" s="236"/>
      <c r="AU85" s="236"/>
      <c r="AV85" s="236"/>
      <c r="AW85" s="236"/>
      <c r="AX85" s="236"/>
      <c r="AY85" s="236"/>
      <c r="AZ85" s="236"/>
      <c r="BA85" s="236"/>
      <c r="BB85" s="236"/>
      <c r="BC85" s="236"/>
      <c r="BD85" s="236"/>
      <c r="BE85" s="236"/>
      <c r="BF85" s="236"/>
      <c r="BG85" s="236"/>
      <c r="BH85" s="236"/>
      <c r="BI85" s="236"/>
      <c r="BJ85" s="236"/>
      <c r="BK85" s="236"/>
      <c r="BL85" s="236"/>
      <c r="BM85" s="236"/>
      <c r="BN85" s="236"/>
      <c r="BO85" s="236"/>
      <c r="BP85" s="236"/>
      <c r="BQ85" s="236"/>
      <c r="BR85" s="236"/>
      <c r="BS85" s="236"/>
      <c r="BT85" s="236"/>
      <c r="BU85" s="236"/>
    </row>
    <row r="86" spans="2:73" s="20" customFormat="1" ht="20.100000000000001" hidden="1" customHeight="1" x14ac:dyDescent="0.2">
      <c r="B86" s="11"/>
      <c r="C86" s="72"/>
      <c r="D86" s="75"/>
      <c r="E86" s="73"/>
      <c r="F86" s="74"/>
      <c r="G86" s="64"/>
      <c r="H86" s="64"/>
      <c r="I86" s="74"/>
      <c r="J86" s="74"/>
      <c r="K86" s="74"/>
      <c r="L86" s="74"/>
      <c r="M86" s="74"/>
      <c r="N86" s="74"/>
      <c r="O86" s="93"/>
      <c r="P86" s="81"/>
      <c r="Q86" s="22"/>
      <c r="R86" s="25"/>
      <c r="S86" s="25"/>
      <c r="T86" s="25"/>
      <c r="U86" s="25"/>
      <c r="V86" s="25"/>
      <c r="W86" s="100">
        <v>2.3000000000000001E-4</v>
      </c>
      <c r="X86" s="86" t="s">
        <v>1</v>
      </c>
      <c r="Y86" s="86">
        <f>IF((H36+T23+Z11)&gt;=T82,(Z11)-V81,0)</f>
        <v>0</v>
      </c>
      <c r="Z86" s="68"/>
      <c r="AA86" s="68"/>
      <c r="AB86" s="68"/>
      <c r="AC86" s="68"/>
      <c r="AD86" s="68"/>
      <c r="AE86" s="92">
        <v>952.92</v>
      </c>
      <c r="AF86" s="7"/>
      <c r="AG86" s="7"/>
      <c r="AH86" s="71"/>
      <c r="AK86" s="71"/>
      <c r="AL86" s="71"/>
      <c r="AM86" s="71"/>
      <c r="AN86" s="71"/>
      <c r="AO86" s="71"/>
      <c r="AP86" s="71"/>
      <c r="AQ86" s="71"/>
      <c r="AT86" s="236"/>
      <c r="AU86" s="236"/>
      <c r="AV86" s="236"/>
      <c r="AW86" s="236"/>
      <c r="AX86" s="236"/>
      <c r="AY86" s="236"/>
      <c r="AZ86" s="236"/>
      <c r="BA86" s="236"/>
      <c r="BB86" s="236"/>
      <c r="BC86" s="236"/>
      <c r="BD86" s="236"/>
      <c r="BE86" s="236"/>
      <c r="BF86" s="236"/>
      <c r="BG86" s="236"/>
      <c r="BH86" s="236"/>
      <c r="BI86" s="236"/>
      <c r="BJ86" s="236"/>
      <c r="BK86" s="236"/>
      <c r="BL86" s="236"/>
      <c r="BM86" s="236"/>
      <c r="BN86" s="236"/>
      <c r="BO86" s="236"/>
      <c r="BP86" s="236"/>
      <c r="BQ86" s="236"/>
      <c r="BR86" s="236"/>
      <c r="BS86" s="236"/>
      <c r="BT86" s="236"/>
      <c r="BU86" s="236"/>
    </row>
    <row r="87" spans="2:73" s="20" customFormat="1" ht="20.100000000000001" hidden="1" customHeight="1" x14ac:dyDescent="0.25">
      <c r="B87" s="24"/>
      <c r="C87" s="24"/>
      <c r="D87" s="64"/>
      <c r="E87" s="73"/>
      <c r="F87" s="64"/>
      <c r="G87" s="93"/>
      <c r="H87" s="93"/>
      <c r="I87" s="74"/>
      <c r="J87" s="64"/>
      <c r="K87" s="64"/>
      <c r="L87" s="74"/>
      <c r="M87" s="64"/>
      <c r="N87" s="74"/>
      <c r="O87" s="22"/>
      <c r="P87" s="81"/>
      <c r="Q87" s="22"/>
      <c r="R87" s="25"/>
      <c r="S87" s="25"/>
      <c r="T87" s="25"/>
      <c r="U87" s="25"/>
      <c r="V87" s="25"/>
      <c r="W87" s="68"/>
      <c r="X87" s="68"/>
      <c r="Y87" s="68"/>
      <c r="Z87" s="68"/>
      <c r="AA87" s="68"/>
      <c r="AB87" s="68"/>
      <c r="AC87" s="68"/>
      <c r="AD87" s="68"/>
      <c r="AE87" s="68"/>
      <c r="AF87" s="7"/>
      <c r="AG87" s="7"/>
      <c r="AH87" s="71"/>
      <c r="AK87" s="71"/>
      <c r="AL87" s="71"/>
      <c r="AM87" s="71"/>
      <c r="AN87" s="71"/>
      <c r="AO87" s="71"/>
      <c r="AP87" s="71"/>
      <c r="AQ87" s="71"/>
      <c r="AT87" s="236"/>
      <c r="AU87" s="236"/>
      <c r="AV87" s="236"/>
      <c r="AW87" s="236"/>
      <c r="AX87" s="236"/>
      <c r="AY87" s="236"/>
      <c r="AZ87" s="236"/>
      <c r="BA87" s="236"/>
      <c r="BB87" s="236"/>
      <c r="BC87" s="236"/>
      <c r="BD87" s="236"/>
      <c r="BE87" s="236"/>
      <c r="BF87" s="236"/>
      <c r="BG87" s="236"/>
      <c r="BH87" s="236"/>
      <c r="BI87" s="236"/>
      <c r="BJ87" s="236"/>
      <c r="BK87" s="236"/>
      <c r="BL87" s="236"/>
      <c r="BM87" s="236"/>
      <c r="BN87" s="236"/>
      <c r="BO87" s="236"/>
      <c r="BP87" s="236"/>
      <c r="BQ87" s="236"/>
      <c r="BR87" s="236"/>
      <c r="BS87" s="236"/>
      <c r="BT87" s="236"/>
      <c r="BU87" s="236"/>
    </row>
    <row r="88" spans="2:73" s="20" customFormat="1" ht="20.100000000000001" hidden="1" customHeight="1" x14ac:dyDescent="0.25">
      <c r="B88" s="24"/>
      <c r="C88" s="24"/>
      <c r="D88" s="64"/>
      <c r="F88" s="64"/>
      <c r="G88" s="93"/>
      <c r="H88" s="93"/>
      <c r="I88" s="74"/>
      <c r="J88" s="93"/>
      <c r="K88" s="93"/>
      <c r="L88" s="74"/>
      <c r="M88" s="93"/>
      <c r="N88" s="74"/>
      <c r="P88" s="22"/>
      <c r="Q88" s="22"/>
      <c r="R88" s="22"/>
      <c r="S88" s="50"/>
      <c r="T88" s="101"/>
      <c r="U88" s="22"/>
      <c r="V88" s="22"/>
      <c r="W88" s="68"/>
      <c r="X88" s="68"/>
      <c r="Y88" s="68"/>
      <c r="Z88" s="25"/>
      <c r="AA88" s="25"/>
      <c r="AB88" s="25"/>
      <c r="AC88" s="7"/>
      <c r="AD88" s="7"/>
      <c r="AE88" s="68"/>
      <c r="AF88" s="7"/>
      <c r="AG88" s="7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T88" s="236"/>
      <c r="AU88" s="236"/>
      <c r="AV88" s="236"/>
      <c r="AW88" s="236"/>
      <c r="AX88" s="236"/>
      <c r="AY88" s="236"/>
      <c r="AZ88" s="236"/>
      <c r="BA88" s="236"/>
      <c r="BB88" s="236"/>
      <c r="BC88" s="236"/>
      <c r="BD88" s="236"/>
      <c r="BE88" s="236"/>
      <c r="BF88" s="236"/>
      <c r="BG88" s="236"/>
      <c r="BH88" s="236"/>
      <c r="BI88" s="236"/>
      <c r="BJ88" s="236"/>
      <c r="BK88" s="236"/>
      <c r="BL88" s="236"/>
      <c r="BM88" s="236"/>
      <c r="BN88" s="236"/>
      <c r="BO88" s="236"/>
      <c r="BP88" s="236"/>
      <c r="BQ88" s="236"/>
      <c r="BR88" s="236"/>
      <c r="BS88" s="236"/>
      <c r="BT88" s="236"/>
      <c r="BU88" s="236"/>
    </row>
    <row r="89" spans="2:73" s="20" customFormat="1" ht="20.100000000000001" hidden="1" customHeight="1" x14ac:dyDescent="0.25">
      <c r="B89" s="72"/>
      <c r="C89" s="72"/>
      <c r="D89" s="22"/>
      <c r="F89" s="22"/>
      <c r="G89" s="69"/>
      <c r="H89" s="69"/>
      <c r="I89" s="74"/>
      <c r="J89" s="93"/>
      <c r="K89" s="93"/>
      <c r="L89" s="64"/>
      <c r="M89" s="69"/>
      <c r="N89" s="64"/>
      <c r="P89" s="22"/>
      <c r="Q89" s="22"/>
      <c r="R89" s="22"/>
      <c r="S89" s="50"/>
      <c r="T89" s="101"/>
      <c r="U89" s="22"/>
      <c r="V89" s="22"/>
      <c r="W89" s="68"/>
      <c r="X89" s="68"/>
      <c r="Y89" s="68"/>
      <c r="Z89" s="25"/>
      <c r="AA89" s="25"/>
      <c r="AB89" s="25"/>
      <c r="AC89" s="68"/>
      <c r="AD89" s="68"/>
      <c r="AE89" s="7"/>
      <c r="AF89" s="7"/>
      <c r="AG89" s="7"/>
      <c r="AH89" s="71"/>
      <c r="AI89" s="71"/>
      <c r="AJ89" s="71"/>
      <c r="AK89" s="71"/>
      <c r="AL89" s="71"/>
      <c r="AM89" s="71"/>
      <c r="AN89" s="71"/>
      <c r="AO89" s="71"/>
      <c r="AP89" s="71"/>
      <c r="AQ89" s="71"/>
      <c r="AT89" s="236"/>
      <c r="AU89" s="236"/>
      <c r="AV89" s="236"/>
      <c r="AW89" s="236"/>
      <c r="AX89" s="236"/>
      <c r="AY89" s="236"/>
      <c r="AZ89" s="236"/>
      <c r="BA89" s="236"/>
      <c r="BB89" s="236"/>
      <c r="BC89" s="236"/>
      <c r="BD89" s="236"/>
      <c r="BE89" s="236"/>
      <c r="BF89" s="236"/>
      <c r="BG89" s="236"/>
      <c r="BH89" s="236"/>
      <c r="BI89" s="236"/>
      <c r="BJ89" s="236"/>
      <c r="BK89" s="236"/>
      <c r="BL89" s="236"/>
      <c r="BM89" s="236"/>
      <c r="BN89" s="236"/>
      <c r="BO89" s="236"/>
      <c r="BP89" s="236"/>
      <c r="BQ89" s="236"/>
      <c r="BR89" s="236"/>
      <c r="BS89" s="236"/>
      <c r="BT89" s="236"/>
      <c r="BU89" s="236"/>
    </row>
    <row r="90" spans="2:73" s="20" customFormat="1" ht="20.100000000000001" hidden="1" customHeight="1" x14ac:dyDescent="0.25">
      <c r="B90" s="72"/>
      <c r="C90" s="72"/>
      <c r="D90" s="22"/>
      <c r="F90" s="22"/>
      <c r="G90" s="69"/>
      <c r="H90" s="69"/>
      <c r="I90" s="74"/>
      <c r="J90" s="93"/>
      <c r="K90" s="93"/>
      <c r="L90" s="93"/>
      <c r="M90" s="69"/>
      <c r="N90" s="93"/>
      <c r="P90" s="22"/>
      <c r="Q90" s="22"/>
      <c r="R90" s="22"/>
      <c r="S90" s="50"/>
      <c r="T90" s="101"/>
      <c r="U90" s="22"/>
      <c r="V90" s="22"/>
      <c r="W90" s="25"/>
      <c r="X90" s="25"/>
      <c r="Y90" s="25"/>
      <c r="Z90" s="25"/>
      <c r="AA90" s="25"/>
      <c r="AB90" s="25"/>
      <c r="AC90" s="68"/>
      <c r="AD90" s="68"/>
      <c r="AE90" s="68"/>
      <c r="AF90" s="7"/>
      <c r="AG90" s="7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T90" s="236"/>
      <c r="AU90" s="236"/>
      <c r="AV90" s="236"/>
      <c r="AW90" s="236"/>
      <c r="AX90" s="236"/>
      <c r="AY90" s="236"/>
      <c r="AZ90" s="236"/>
      <c r="BA90" s="236"/>
      <c r="BB90" s="236"/>
      <c r="BC90" s="236"/>
      <c r="BD90" s="236"/>
      <c r="BE90" s="236"/>
      <c r="BF90" s="236"/>
      <c r="BG90" s="236"/>
      <c r="BH90" s="236"/>
      <c r="BI90" s="236"/>
      <c r="BJ90" s="236"/>
      <c r="BK90" s="236"/>
      <c r="BL90" s="236"/>
      <c r="BM90" s="236"/>
      <c r="BN90" s="236"/>
      <c r="BO90" s="236"/>
      <c r="BP90" s="236"/>
      <c r="BQ90" s="236"/>
      <c r="BR90" s="236"/>
      <c r="BS90" s="236"/>
      <c r="BT90" s="236"/>
      <c r="BU90" s="236"/>
    </row>
    <row r="91" spans="2:73" s="20" customFormat="1" ht="20.100000000000001" hidden="1" customHeight="1" x14ac:dyDescent="0.25">
      <c r="B91" s="72"/>
      <c r="C91" s="72"/>
      <c r="D91" s="22"/>
      <c r="F91" s="22"/>
      <c r="G91" s="69"/>
      <c r="H91" s="69"/>
      <c r="I91" s="74"/>
      <c r="J91" s="69"/>
      <c r="K91" s="69"/>
      <c r="L91" s="69"/>
      <c r="M91" s="69"/>
      <c r="N91" s="69"/>
      <c r="P91" s="22"/>
      <c r="Q91" s="22"/>
      <c r="R91" s="22"/>
      <c r="S91" s="50"/>
      <c r="T91" s="101"/>
      <c r="U91" s="22"/>
      <c r="V91" s="22"/>
      <c r="W91" s="25"/>
      <c r="X91" s="25"/>
      <c r="Y91" s="25"/>
      <c r="Z91" s="22"/>
      <c r="AC91" s="68"/>
      <c r="AD91" s="68"/>
      <c r="AE91" s="68"/>
      <c r="AF91" s="71"/>
      <c r="AG91" s="71"/>
      <c r="AH91" s="71"/>
      <c r="AI91" s="71"/>
      <c r="AJ91" s="71"/>
      <c r="AK91" s="71"/>
      <c r="AL91" s="71"/>
      <c r="AM91" s="71"/>
      <c r="AN91" s="71"/>
      <c r="AO91" s="71"/>
      <c r="AP91" s="71"/>
      <c r="AQ91" s="71"/>
      <c r="AT91" s="236"/>
      <c r="AU91" s="236"/>
      <c r="AV91" s="236"/>
      <c r="AW91" s="236"/>
      <c r="AX91" s="236"/>
      <c r="AY91" s="236"/>
      <c r="AZ91" s="236"/>
      <c r="BA91" s="236"/>
      <c r="BB91" s="236"/>
      <c r="BC91" s="236"/>
      <c r="BD91" s="236"/>
      <c r="BE91" s="236"/>
      <c r="BF91" s="236"/>
      <c r="BG91" s="236"/>
      <c r="BH91" s="236"/>
      <c r="BI91" s="236"/>
      <c r="BJ91" s="236"/>
      <c r="BK91" s="236"/>
      <c r="BL91" s="236"/>
      <c r="BM91" s="236"/>
      <c r="BN91" s="236"/>
      <c r="BO91" s="236"/>
      <c r="BP91" s="236"/>
      <c r="BQ91" s="236"/>
      <c r="BR91" s="236"/>
      <c r="BS91" s="236"/>
      <c r="BT91" s="236"/>
      <c r="BU91" s="236"/>
    </row>
    <row r="92" spans="2:73" s="20" customFormat="1" ht="20.100000000000001" hidden="1" customHeight="1" x14ac:dyDescent="0.25">
      <c r="B92" s="72"/>
      <c r="C92" s="72"/>
      <c r="D92" s="22"/>
      <c r="F92" s="22"/>
      <c r="G92" s="69"/>
      <c r="H92" s="69"/>
      <c r="I92" s="64"/>
      <c r="J92" s="69"/>
      <c r="K92" s="69"/>
      <c r="L92" s="69"/>
      <c r="M92" s="69"/>
      <c r="N92" s="69"/>
      <c r="P92" s="22"/>
      <c r="Q92" s="22"/>
      <c r="R92" s="22"/>
      <c r="S92" s="50"/>
      <c r="T92" s="101"/>
      <c r="U92" s="22"/>
      <c r="V92" s="22"/>
      <c r="W92" s="69"/>
      <c r="X92" s="22"/>
      <c r="Y92" s="22"/>
      <c r="Z92" s="22"/>
      <c r="AC92" s="68"/>
      <c r="AD92" s="68"/>
      <c r="AE92" s="68"/>
      <c r="AF92" s="71"/>
      <c r="AG92" s="71"/>
      <c r="AH92" s="71"/>
      <c r="AI92" s="71"/>
      <c r="AJ92" s="71"/>
      <c r="AK92" s="71"/>
      <c r="AL92" s="71"/>
      <c r="AM92" s="71"/>
      <c r="AN92" s="71"/>
      <c r="AO92" s="71"/>
      <c r="AP92" s="71"/>
      <c r="AQ92" s="71"/>
      <c r="AT92" s="236"/>
      <c r="AU92" s="236"/>
      <c r="AV92" s="236"/>
      <c r="AW92" s="236"/>
      <c r="AX92" s="236"/>
      <c r="AY92" s="236"/>
      <c r="AZ92" s="236"/>
      <c r="BA92" s="236"/>
      <c r="BB92" s="236"/>
      <c r="BC92" s="236"/>
      <c r="BD92" s="236"/>
      <c r="BE92" s="236"/>
      <c r="BF92" s="236"/>
      <c r="BG92" s="236"/>
      <c r="BH92" s="236"/>
      <c r="BI92" s="236"/>
      <c r="BJ92" s="236"/>
      <c r="BK92" s="236"/>
      <c r="BL92" s="236"/>
      <c r="BM92" s="236"/>
      <c r="BN92" s="236"/>
      <c r="BO92" s="236"/>
      <c r="BP92" s="236"/>
      <c r="BQ92" s="236"/>
      <c r="BR92" s="236"/>
      <c r="BS92" s="236"/>
      <c r="BT92" s="236"/>
      <c r="BU92" s="236"/>
    </row>
    <row r="93" spans="2:73" s="20" customFormat="1" ht="20.100000000000001" hidden="1" customHeight="1" x14ac:dyDescent="0.25">
      <c r="B93" s="72"/>
      <c r="C93" s="72"/>
      <c r="D93" s="22"/>
      <c r="F93" s="22"/>
      <c r="G93" s="22"/>
      <c r="H93" s="22"/>
      <c r="I93" s="93"/>
      <c r="J93" s="69"/>
      <c r="K93" s="69"/>
      <c r="L93" s="69"/>
      <c r="M93" s="69"/>
      <c r="N93" s="69"/>
      <c r="P93" s="22"/>
      <c r="Q93" s="22"/>
      <c r="R93" s="22"/>
      <c r="S93" s="50"/>
      <c r="T93" s="101"/>
      <c r="U93" s="22"/>
      <c r="V93" s="22"/>
      <c r="W93" s="69"/>
      <c r="X93" s="22"/>
      <c r="Y93" s="22"/>
      <c r="Z93" s="22"/>
      <c r="AC93" s="68"/>
      <c r="AD93" s="68"/>
      <c r="AE93" s="68"/>
      <c r="AF93" s="71"/>
      <c r="AG93" s="71"/>
      <c r="AH93" s="71"/>
      <c r="AI93" s="71"/>
      <c r="AJ93" s="71"/>
      <c r="AK93" s="71"/>
      <c r="AL93" s="71"/>
      <c r="AM93" s="71"/>
      <c r="AN93" s="71"/>
      <c r="AO93" s="71"/>
      <c r="AP93" s="71"/>
      <c r="AQ93" s="71"/>
      <c r="AT93" s="236"/>
      <c r="AU93" s="236"/>
      <c r="AV93" s="236"/>
      <c r="AW93" s="236"/>
      <c r="AX93" s="236"/>
      <c r="AY93" s="236"/>
      <c r="AZ93" s="236"/>
      <c r="BA93" s="236"/>
      <c r="BB93" s="236"/>
      <c r="BC93" s="236"/>
      <c r="BD93" s="236"/>
      <c r="BE93" s="236"/>
      <c r="BF93" s="236"/>
      <c r="BG93" s="236"/>
      <c r="BH93" s="236"/>
      <c r="BI93" s="236"/>
      <c r="BJ93" s="236"/>
      <c r="BK93" s="236"/>
      <c r="BL93" s="236"/>
      <c r="BM93" s="236"/>
      <c r="BN93" s="236"/>
      <c r="BO93" s="236"/>
      <c r="BP93" s="236"/>
      <c r="BQ93" s="236"/>
      <c r="BR93" s="236"/>
      <c r="BS93" s="236"/>
      <c r="BT93" s="236"/>
      <c r="BU93" s="236"/>
    </row>
    <row r="94" spans="2:73" s="20" customFormat="1" ht="18" hidden="1" customHeight="1" x14ac:dyDescent="0.25">
      <c r="I94" s="93"/>
      <c r="J94" s="22"/>
      <c r="K94" s="22"/>
      <c r="L94" s="69"/>
      <c r="M94" s="22"/>
      <c r="N94" s="69"/>
      <c r="P94" s="22"/>
      <c r="Q94" s="22"/>
      <c r="R94" s="22"/>
      <c r="S94" s="50"/>
      <c r="T94" s="101"/>
      <c r="U94" s="22"/>
      <c r="V94" s="22"/>
      <c r="W94" s="69"/>
      <c r="X94" s="22"/>
      <c r="Y94" s="22"/>
      <c r="Z94" s="22"/>
      <c r="AC94" s="68"/>
      <c r="AD94" s="68"/>
      <c r="AE94" s="68"/>
      <c r="AF94" s="71"/>
      <c r="AG94" s="71"/>
      <c r="AH94" s="71"/>
      <c r="AI94" s="71"/>
      <c r="AJ94" s="71"/>
      <c r="AK94" s="71"/>
      <c r="AL94" s="71"/>
      <c r="AM94" s="71"/>
      <c r="AN94" s="71"/>
      <c r="AO94" s="71"/>
      <c r="AP94" s="71"/>
      <c r="AQ94" s="71"/>
      <c r="AT94" s="236"/>
      <c r="AU94" s="236"/>
      <c r="AV94" s="236"/>
      <c r="AW94" s="236"/>
      <c r="AX94" s="236"/>
      <c r="AY94" s="236"/>
      <c r="AZ94" s="236"/>
      <c r="BA94" s="236"/>
      <c r="BB94" s="236"/>
      <c r="BC94" s="236"/>
      <c r="BD94" s="236"/>
      <c r="BE94" s="236"/>
      <c r="BF94" s="236"/>
      <c r="BG94" s="236"/>
      <c r="BH94" s="236"/>
      <c r="BI94" s="236"/>
      <c r="BJ94" s="236"/>
      <c r="BK94" s="236"/>
      <c r="BL94" s="236"/>
      <c r="BM94" s="236"/>
      <c r="BN94" s="236"/>
      <c r="BO94" s="236"/>
      <c r="BP94" s="236"/>
      <c r="BQ94" s="236"/>
      <c r="BR94" s="236"/>
      <c r="BS94" s="236"/>
      <c r="BT94" s="236"/>
      <c r="BU94" s="236"/>
    </row>
    <row r="95" spans="2:73" s="102" customFormat="1" ht="15.75" customHeight="1" x14ac:dyDescent="0.25">
      <c r="B95" s="20"/>
      <c r="C95" s="20"/>
      <c r="D95" s="20"/>
      <c r="E95" s="20"/>
      <c r="F95" s="20"/>
      <c r="G95" s="20"/>
      <c r="H95" s="20"/>
      <c r="I95" s="69"/>
      <c r="J95" s="20"/>
      <c r="K95" s="20"/>
      <c r="L95" s="69"/>
      <c r="M95" s="22"/>
      <c r="N95" s="69"/>
      <c r="O95" s="20"/>
      <c r="P95" s="22"/>
      <c r="Q95" s="22"/>
      <c r="R95" s="22"/>
      <c r="S95" s="50"/>
      <c r="T95" s="101"/>
      <c r="U95" s="22"/>
      <c r="V95" s="22"/>
      <c r="W95" s="69"/>
      <c r="X95" s="22"/>
      <c r="Y95" s="22"/>
      <c r="Z95" s="22"/>
      <c r="AA95" s="20"/>
      <c r="AB95" s="20"/>
      <c r="AC95" s="25"/>
      <c r="AD95" s="25"/>
      <c r="AE95" s="68"/>
      <c r="AF95" s="71"/>
      <c r="AG95" s="71"/>
      <c r="AH95" s="263"/>
      <c r="AI95" s="263"/>
      <c r="AJ95" s="263"/>
      <c r="AK95" s="263"/>
      <c r="AL95" s="263"/>
      <c r="AM95" s="263"/>
      <c r="AN95" s="263"/>
      <c r="AO95" s="263"/>
      <c r="AP95" s="263"/>
      <c r="AQ95" s="263"/>
      <c r="AT95" s="103"/>
      <c r="AU95" s="103"/>
      <c r="AV95" s="103"/>
      <c r="AW95" s="103"/>
      <c r="AX95" s="103"/>
      <c r="AY95" s="103"/>
      <c r="AZ95" s="103"/>
      <c r="BA95" s="103"/>
      <c r="BB95" s="103"/>
      <c r="BC95" s="103"/>
      <c r="BD95" s="103"/>
      <c r="BE95" s="103"/>
      <c r="BF95" s="103"/>
      <c r="BG95" s="103"/>
      <c r="BH95" s="103"/>
      <c r="BI95" s="103"/>
      <c r="BJ95" s="103"/>
      <c r="BK95" s="103"/>
      <c r="BL95" s="103"/>
      <c r="BM95" s="103"/>
      <c r="BN95" s="103"/>
      <c r="BO95" s="103"/>
      <c r="BP95" s="103"/>
      <c r="BQ95" s="103"/>
      <c r="BR95" s="103"/>
      <c r="BS95" s="103"/>
      <c r="BT95" s="103"/>
      <c r="BU95" s="103"/>
    </row>
    <row r="96" spans="2:73" s="102" customFormat="1" ht="20.100000000000001" customHeight="1" x14ac:dyDescent="0.25">
      <c r="B96" s="20"/>
      <c r="C96" s="20"/>
      <c r="D96" s="20"/>
      <c r="E96" s="20"/>
      <c r="F96" s="20"/>
      <c r="G96" s="20"/>
      <c r="H96" s="20"/>
      <c r="I96" s="69"/>
      <c r="J96" s="20"/>
      <c r="K96" s="20"/>
      <c r="L96" s="22"/>
      <c r="M96" s="22"/>
      <c r="N96" s="22"/>
      <c r="P96" s="22"/>
      <c r="Q96" s="22"/>
      <c r="R96" s="22"/>
      <c r="S96" s="50"/>
      <c r="T96" s="101"/>
      <c r="U96" s="22"/>
      <c r="V96" s="22"/>
      <c r="W96" s="69"/>
      <c r="X96" s="22"/>
      <c r="Y96" s="22"/>
      <c r="Z96" s="22"/>
      <c r="AA96" s="20"/>
      <c r="AB96" s="20"/>
      <c r="AC96" s="25"/>
      <c r="AD96" s="25"/>
      <c r="AE96" s="25"/>
      <c r="AF96" s="71"/>
      <c r="AG96" s="71"/>
      <c r="AH96" s="263"/>
      <c r="AI96" s="263"/>
      <c r="AJ96" s="263"/>
      <c r="AK96" s="263"/>
      <c r="AL96" s="263"/>
      <c r="AM96" s="263"/>
      <c r="AN96" s="263"/>
      <c r="AO96" s="263"/>
      <c r="AP96" s="263"/>
      <c r="AQ96" s="263"/>
      <c r="AT96" s="103"/>
      <c r="AU96" s="103"/>
      <c r="AV96" s="103"/>
      <c r="AW96" s="103"/>
      <c r="AX96" s="103"/>
      <c r="AY96" s="103"/>
      <c r="AZ96" s="103"/>
      <c r="BA96" s="103"/>
      <c r="BB96" s="103"/>
      <c r="BC96" s="103"/>
      <c r="BD96" s="103"/>
      <c r="BE96" s="103"/>
      <c r="BF96" s="103"/>
      <c r="BG96" s="103"/>
      <c r="BH96" s="103"/>
      <c r="BI96" s="103"/>
      <c r="BJ96" s="103"/>
      <c r="BK96" s="103"/>
      <c r="BL96" s="103"/>
      <c r="BM96" s="103"/>
      <c r="BN96" s="103"/>
      <c r="BO96" s="103"/>
      <c r="BP96" s="103"/>
      <c r="BQ96" s="103"/>
      <c r="BR96" s="103"/>
      <c r="BS96" s="103"/>
      <c r="BT96" s="103"/>
      <c r="BU96" s="103"/>
    </row>
    <row r="97" spans="2:73" s="102" customFormat="1" ht="20.100000000000001" customHeight="1" x14ac:dyDescent="0.25">
      <c r="B97" s="20"/>
      <c r="C97" s="20"/>
      <c r="D97" s="20"/>
      <c r="E97" s="20"/>
      <c r="F97" s="20"/>
      <c r="G97" s="20"/>
      <c r="H97" s="20"/>
      <c r="I97" s="69"/>
      <c r="J97" s="20"/>
      <c r="K97" s="20"/>
      <c r="L97" s="22"/>
      <c r="M97" s="22"/>
      <c r="N97" s="22"/>
      <c r="P97" s="22"/>
      <c r="Q97" s="22"/>
      <c r="R97" s="22"/>
      <c r="S97" s="50"/>
      <c r="T97" s="101"/>
      <c r="U97" s="22"/>
      <c r="V97" s="22"/>
      <c r="W97" s="69"/>
      <c r="X97" s="22"/>
      <c r="Y97" s="22"/>
      <c r="Z97" s="22"/>
      <c r="AA97" s="20"/>
      <c r="AB97" s="20"/>
      <c r="AC97" s="20"/>
      <c r="AD97" s="20"/>
      <c r="AE97" s="25"/>
      <c r="AF97" s="20"/>
      <c r="AG97" s="20"/>
      <c r="AH97" s="263"/>
      <c r="AI97" s="263"/>
      <c r="AJ97" s="263"/>
      <c r="AK97" s="263"/>
      <c r="AL97" s="263"/>
      <c r="AM97" s="263"/>
      <c r="AN97" s="263"/>
      <c r="AO97" s="263"/>
      <c r="AP97" s="263"/>
      <c r="AQ97" s="263"/>
      <c r="AT97" s="103"/>
      <c r="AU97" s="103"/>
      <c r="AV97" s="103"/>
      <c r="AW97" s="103"/>
      <c r="AX97" s="103"/>
      <c r="AY97" s="103"/>
      <c r="AZ97" s="103"/>
      <c r="BA97" s="103"/>
      <c r="BB97" s="103"/>
      <c r="BC97" s="103"/>
      <c r="BD97" s="103"/>
      <c r="BE97" s="103"/>
      <c r="BF97" s="103"/>
      <c r="BG97" s="103"/>
      <c r="BH97" s="103"/>
      <c r="BI97" s="103"/>
      <c r="BJ97" s="103"/>
      <c r="BK97" s="103"/>
      <c r="BL97" s="103"/>
      <c r="BM97" s="103"/>
      <c r="BN97" s="103"/>
      <c r="BO97" s="103"/>
      <c r="BP97" s="103"/>
      <c r="BQ97" s="103"/>
      <c r="BR97" s="103"/>
      <c r="BS97" s="103"/>
      <c r="BT97" s="103"/>
      <c r="BU97" s="103"/>
    </row>
    <row r="98" spans="2:73" s="102" customFormat="1" ht="20.100000000000001" customHeight="1" x14ac:dyDescent="0.25">
      <c r="B98" s="20"/>
      <c r="C98" s="20"/>
      <c r="D98" s="20"/>
      <c r="E98" s="20"/>
      <c r="F98" s="20"/>
      <c r="G98" s="20"/>
      <c r="H98" s="20"/>
      <c r="I98" s="69"/>
      <c r="J98" s="20"/>
      <c r="K98" s="20"/>
      <c r="L98" s="22"/>
      <c r="M98" s="22"/>
      <c r="N98" s="22"/>
      <c r="P98" s="22"/>
      <c r="Q98" s="22"/>
      <c r="R98" s="22"/>
      <c r="S98" s="50"/>
      <c r="T98" s="101"/>
      <c r="U98" s="22"/>
      <c r="V98" s="22"/>
      <c r="W98" s="69"/>
      <c r="X98" s="22"/>
      <c r="Y98" s="22"/>
      <c r="Z98" s="22"/>
      <c r="AA98" s="20"/>
      <c r="AB98" s="20"/>
      <c r="AC98" s="20"/>
      <c r="AD98" s="20"/>
      <c r="AE98" s="20"/>
      <c r="AF98" s="20"/>
      <c r="AG98" s="20"/>
      <c r="AH98" s="263"/>
      <c r="AI98" s="263"/>
      <c r="AJ98" s="263"/>
      <c r="AK98" s="263"/>
      <c r="AL98" s="263"/>
      <c r="AM98" s="263"/>
      <c r="AN98" s="263"/>
      <c r="AO98" s="263"/>
      <c r="AP98" s="263"/>
      <c r="AQ98" s="263"/>
      <c r="AT98" s="103"/>
      <c r="AU98" s="103"/>
      <c r="AV98" s="103"/>
      <c r="AW98" s="103"/>
      <c r="AX98" s="103"/>
      <c r="AY98" s="103"/>
      <c r="AZ98" s="103"/>
      <c r="BA98" s="103"/>
      <c r="BB98" s="103"/>
      <c r="BC98" s="103"/>
      <c r="BD98" s="103"/>
      <c r="BE98" s="103"/>
      <c r="BF98" s="103"/>
      <c r="BG98" s="103"/>
      <c r="BH98" s="103"/>
      <c r="BI98" s="103"/>
      <c r="BJ98" s="103"/>
      <c r="BK98" s="103"/>
      <c r="BL98" s="103"/>
      <c r="BM98" s="103"/>
      <c r="BN98" s="103"/>
      <c r="BO98" s="103"/>
      <c r="BP98" s="103"/>
      <c r="BQ98" s="103"/>
      <c r="BR98" s="103"/>
      <c r="BS98" s="103"/>
      <c r="BT98" s="103"/>
      <c r="BU98" s="103"/>
    </row>
    <row r="99" spans="2:73" s="102" customFormat="1" ht="20.100000000000001" customHeight="1" x14ac:dyDescent="0.25">
      <c r="B99" s="20"/>
      <c r="C99" s="20"/>
      <c r="D99" s="20"/>
      <c r="E99" s="20"/>
      <c r="F99" s="20"/>
      <c r="G99" s="20"/>
      <c r="H99" s="20"/>
      <c r="I99" s="22"/>
      <c r="J99" s="20"/>
      <c r="K99" s="20"/>
      <c r="L99" s="22"/>
      <c r="M99" s="22"/>
      <c r="N99" s="22"/>
      <c r="P99" s="20"/>
      <c r="Q99" s="22"/>
      <c r="R99" s="20"/>
      <c r="S99" s="20"/>
      <c r="T99" s="20"/>
      <c r="U99" s="20"/>
      <c r="V99" s="20"/>
      <c r="W99" s="69"/>
      <c r="X99" s="22"/>
      <c r="Y99" s="22"/>
      <c r="Z99" s="22"/>
      <c r="AA99" s="20"/>
      <c r="AB99" s="20"/>
      <c r="AC99" s="20"/>
      <c r="AD99" s="20"/>
      <c r="AE99" s="20"/>
      <c r="AF99" s="20"/>
      <c r="AG99" s="20"/>
      <c r="AH99" s="263"/>
      <c r="AI99" s="263"/>
      <c r="AJ99" s="263"/>
      <c r="AK99" s="263"/>
      <c r="AL99" s="263"/>
      <c r="AM99" s="263"/>
      <c r="AN99" s="263"/>
      <c r="AO99" s="263"/>
      <c r="AP99" s="263"/>
      <c r="AQ99" s="263"/>
      <c r="AT99" s="103"/>
      <c r="AU99" s="103"/>
      <c r="AV99" s="103"/>
      <c r="AW99" s="103"/>
      <c r="AX99" s="103"/>
      <c r="AY99" s="103"/>
      <c r="AZ99" s="103"/>
      <c r="BA99" s="103"/>
      <c r="BB99" s="103"/>
      <c r="BC99" s="103"/>
      <c r="BD99" s="103"/>
      <c r="BE99" s="103"/>
      <c r="BF99" s="103"/>
      <c r="BG99" s="103"/>
      <c r="BH99" s="103"/>
      <c r="BI99" s="103"/>
      <c r="BJ99" s="103"/>
      <c r="BK99" s="103"/>
      <c r="BL99" s="103"/>
      <c r="BM99" s="103"/>
      <c r="BN99" s="103"/>
      <c r="BO99" s="103"/>
      <c r="BP99" s="103"/>
      <c r="BQ99" s="103"/>
      <c r="BR99" s="103"/>
      <c r="BS99" s="103"/>
      <c r="BT99" s="103"/>
      <c r="BU99" s="103"/>
    </row>
    <row r="100" spans="2:73" s="5" customFormat="1" ht="20.100000000000001" customHeight="1" x14ac:dyDescent="0.25"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2"/>
      <c r="M100" s="22"/>
      <c r="N100" s="22"/>
      <c r="O100" s="102"/>
      <c r="P100" s="20"/>
      <c r="Q100" s="50"/>
      <c r="R100" s="20"/>
      <c r="S100" s="20"/>
      <c r="T100" s="20"/>
      <c r="U100" s="20"/>
      <c r="V100" s="20"/>
      <c r="W100" s="69"/>
      <c r="X100" s="22"/>
      <c r="Y100" s="22"/>
      <c r="Z100" s="22"/>
      <c r="AA100" s="20"/>
      <c r="AB100" s="20"/>
      <c r="AC100" s="20"/>
      <c r="AD100" s="20"/>
      <c r="AE100" s="20"/>
      <c r="AF100" s="20"/>
      <c r="AG100" s="20"/>
      <c r="AH100" s="263"/>
      <c r="AI100" s="263"/>
      <c r="AJ100" s="263"/>
      <c r="AK100" s="263"/>
      <c r="AL100" s="263"/>
      <c r="AM100" s="263"/>
      <c r="AN100" s="263"/>
      <c r="AO100" s="263"/>
      <c r="AP100" s="263"/>
      <c r="AQ100" s="263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</row>
    <row r="101" spans="2:73" s="5" customFormat="1" ht="20.100000000000001" customHeight="1" x14ac:dyDescent="0.25"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2"/>
      <c r="M101" s="20"/>
      <c r="N101" s="22"/>
      <c r="O101" s="102"/>
      <c r="P101" s="20"/>
      <c r="Q101" s="50"/>
      <c r="R101" s="20"/>
      <c r="S101" s="20"/>
      <c r="T101" s="20"/>
      <c r="U101" s="20"/>
      <c r="V101" s="20"/>
      <c r="W101" s="69"/>
      <c r="X101" s="22"/>
      <c r="Y101" s="22"/>
      <c r="Z101" s="22"/>
      <c r="AA101" s="20"/>
      <c r="AB101" s="20"/>
      <c r="AC101" s="20"/>
      <c r="AD101" s="20"/>
      <c r="AE101" s="20"/>
      <c r="AF101" s="20"/>
      <c r="AG101" s="20"/>
      <c r="AH101" s="263"/>
      <c r="AI101" s="263"/>
      <c r="AJ101" s="263"/>
      <c r="AK101" s="263"/>
      <c r="AL101" s="263"/>
      <c r="AM101" s="263"/>
      <c r="AN101" s="263"/>
      <c r="AO101" s="263"/>
      <c r="AP101" s="263"/>
      <c r="AQ101" s="263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</row>
    <row r="102" spans="2:73" s="5" customFormat="1" ht="20.100000000000001" customHeight="1" x14ac:dyDescent="0.25"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2"/>
      <c r="M102" s="20"/>
      <c r="N102" s="22"/>
      <c r="O102" s="102"/>
      <c r="P102" s="20"/>
      <c r="Q102" s="50"/>
      <c r="R102" s="20"/>
      <c r="S102" s="20"/>
      <c r="T102" s="20"/>
      <c r="U102" s="20"/>
      <c r="V102" s="20"/>
      <c r="W102" s="69"/>
      <c r="X102" s="22"/>
      <c r="Y102" s="22"/>
      <c r="Z102" s="20"/>
      <c r="AA102" s="20"/>
      <c r="AB102" s="20"/>
      <c r="AC102" s="20"/>
      <c r="AD102" s="20"/>
      <c r="AE102" s="20"/>
      <c r="AF102" s="20"/>
      <c r="AG102" s="20"/>
      <c r="AH102" s="263"/>
      <c r="AI102" s="263"/>
      <c r="AJ102" s="263"/>
      <c r="AK102" s="263"/>
      <c r="AL102" s="263"/>
      <c r="AM102" s="263"/>
      <c r="AN102" s="263"/>
      <c r="AO102" s="263"/>
      <c r="AP102" s="263"/>
      <c r="AQ102" s="263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</row>
    <row r="103" spans="2:73" s="5" customFormat="1" ht="20.100000000000001" customHeight="1" x14ac:dyDescent="0.25"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102"/>
      <c r="P103" s="20"/>
      <c r="Q103" s="50"/>
      <c r="R103" s="20"/>
      <c r="S103" s="20"/>
      <c r="T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263"/>
      <c r="AI103" s="263"/>
      <c r="AJ103" s="263"/>
      <c r="AK103" s="263"/>
      <c r="AL103" s="263"/>
      <c r="AM103" s="263"/>
      <c r="AN103" s="263"/>
      <c r="AO103" s="263"/>
      <c r="AP103" s="263"/>
      <c r="AQ103" s="263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</row>
    <row r="104" spans="2:73" s="5" customFormat="1" ht="20.100000000000001" customHeight="1" x14ac:dyDescent="0.25"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102"/>
      <c r="P104" s="20"/>
      <c r="Q104" s="5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63"/>
      <c r="AI104" s="263"/>
      <c r="AJ104" s="263"/>
      <c r="AK104" s="263"/>
      <c r="AL104" s="263"/>
      <c r="AM104" s="263"/>
      <c r="AN104" s="263"/>
      <c r="AO104" s="263"/>
      <c r="AP104" s="263"/>
      <c r="AQ104" s="263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</row>
    <row r="105" spans="2:73" s="5" customFormat="1" ht="20.100000000000001" customHeight="1" x14ac:dyDescent="0.25"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102"/>
      <c r="P105" s="20"/>
      <c r="Q105" s="5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63"/>
      <c r="AI105" s="263"/>
      <c r="AJ105" s="263"/>
      <c r="AK105" s="263"/>
      <c r="AL105" s="263"/>
      <c r="AM105" s="263"/>
      <c r="AN105" s="263"/>
      <c r="AO105" s="263"/>
      <c r="AP105" s="263"/>
      <c r="AQ105" s="263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</row>
    <row r="106" spans="2:73" s="5" customFormat="1" ht="20.100000000000001" customHeight="1" x14ac:dyDescent="0.25"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102"/>
      <c r="P106" s="20"/>
      <c r="Q106" s="5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63"/>
      <c r="AI106" s="263"/>
      <c r="AJ106" s="263"/>
      <c r="AK106" s="263"/>
      <c r="AL106" s="263"/>
      <c r="AM106" s="263"/>
      <c r="AN106" s="263"/>
      <c r="AO106" s="263"/>
      <c r="AP106" s="263"/>
      <c r="AQ106" s="263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</row>
    <row r="107" spans="2:73" s="5" customFormat="1" ht="20.100000000000001" customHeight="1" x14ac:dyDescent="0.25"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102"/>
      <c r="P107" s="102"/>
      <c r="Q107" s="59"/>
      <c r="R107" s="102"/>
      <c r="S107" s="102"/>
      <c r="T107" s="102"/>
      <c r="U107" s="102"/>
      <c r="V107" s="102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63"/>
      <c r="AI107" s="263"/>
      <c r="AJ107" s="263"/>
      <c r="AK107" s="263"/>
      <c r="AL107" s="263"/>
      <c r="AM107" s="263"/>
      <c r="AN107" s="263"/>
      <c r="AO107" s="263"/>
      <c r="AP107" s="263"/>
      <c r="AQ107" s="263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</row>
    <row r="108" spans="2:73" s="5" customFormat="1" ht="20.100000000000001" customHeight="1" x14ac:dyDescent="0.25">
      <c r="B108" s="102"/>
      <c r="C108" s="102"/>
      <c r="D108" s="102"/>
      <c r="E108" s="102"/>
      <c r="F108" s="102"/>
      <c r="G108" s="102"/>
      <c r="H108" s="102"/>
      <c r="I108" s="20"/>
      <c r="J108" s="20"/>
      <c r="K108" s="20"/>
      <c r="L108" s="20"/>
      <c r="M108" s="20"/>
      <c r="N108" s="20"/>
      <c r="O108" s="102"/>
      <c r="P108" s="102"/>
      <c r="Q108" s="59"/>
      <c r="R108" s="102"/>
      <c r="S108" s="102"/>
      <c r="T108" s="102"/>
      <c r="U108" s="102"/>
      <c r="V108" s="102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63"/>
      <c r="AI108" s="263"/>
      <c r="AJ108" s="263"/>
      <c r="AK108" s="263"/>
      <c r="AL108" s="263"/>
      <c r="AM108" s="263"/>
      <c r="AN108" s="263"/>
      <c r="AO108" s="263"/>
      <c r="AP108" s="263"/>
      <c r="AQ108" s="263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</row>
    <row r="109" spans="2:73" s="5" customFormat="1" ht="20.100000000000001" customHeight="1" x14ac:dyDescent="0.25">
      <c r="B109" s="102"/>
      <c r="C109" s="102"/>
      <c r="D109" s="102"/>
      <c r="E109" s="102"/>
      <c r="F109" s="102"/>
      <c r="G109" s="102"/>
      <c r="H109" s="102"/>
      <c r="I109" s="20"/>
      <c r="J109" s="102"/>
      <c r="K109" s="102"/>
      <c r="L109" s="20"/>
      <c r="M109" s="102"/>
      <c r="N109" s="20"/>
      <c r="O109" s="102"/>
      <c r="P109" s="102"/>
      <c r="Q109" s="59"/>
      <c r="R109" s="102"/>
      <c r="S109" s="102"/>
      <c r="T109" s="102"/>
      <c r="U109" s="102"/>
      <c r="V109" s="102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63"/>
      <c r="AI109" s="263"/>
      <c r="AJ109" s="263"/>
      <c r="AK109" s="263"/>
      <c r="AL109" s="263"/>
      <c r="AM109" s="263"/>
      <c r="AN109" s="263"/>
      <c r="AO109" s="263"/>
      <c r="AP109" s="263"/>
      <c r="AQ109" s="263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</row>
    <row r="110" spans="2:73" s="5" customFormat="1" ht="20.100000000000001" customHeight="1" x14ac:dyDescent="0.25">
      <c r="B110" s="102"/>
      <c r="C110" s="102"/>
      <c r="D110" s="102"/>
      <c r="E110" s="102"/>
      <c r="F110" s="102"/>
      <c r="G110" s="102"/>
      <c r="H110" s="102"/>
      <c r="I110" s="20"/>
      <c r="J110" s="102"/>
      <c r="K110" s="102"/>
      <c r="L110" s="20"/>
      <c r="M110" s="102"/>
      <c r="N110" s="20"/>
      <c r="O110" s="102"/>
      <c r="P110" s="102"/>
      <c r="Q110" s="59"/>
      <c r="R110" s="102"/>
      <c r="S110" s="102"/>
      <c r="T110" s="102"/>
      <c r="U110" s="102"/>
      <c r="V110" s="102"/>
      <c r="W110" s="20"/>
      <c r="X110" s="20"/>
      <c r="Y110" s="20"/>
      <c r="Z110" s="102"/>
      <c r="AA110" s="102"/>
      <c r="AB110" s="102"/>
      <c r="AC110" s="20"/>
      <c r="AD110" s="20"/>
      <c r="AE110" s="20"/>
      <c r="AF110" s="20"/>
      <c r="AG110" s="20"/>
      <c r="AH110" s="263"/>
      <c r="AI110" s="263"/>
      <c r="AJ110" s="263"/>
      <c r="AK110" s="263"/>
      <c r="AL110" s="263"/>
      <c r="AM110" s="263"/>
      <c r="AN110" s="263"/>
      <c r="AO110" s="263"/>
      <c r="AP110" s="263"/>
      <c r="AQ110" s="263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</row>
    <row r="111" spans="2:73" s="5" customFormat="1" ht="20.100000000000001" customHeight="1" x14ac:dyDescent="0.25">
      <c r="B111" s="102"/>
      <c r="C111" s="102"/>
      <c r="D111" s="102"/>
      <c r="E111" s="102"/>
      <c r="F111" s="102"/>
      <c r="G111" s="102"/>
      <c r="H111" s="102"/>
      <c r="I111" s="20"/>
      <c r="J111" s="102"/>
      <c r="K111" s="102"/>
      <c r="L111" s="102"/>
      <c r="M111" s="102"/>
      <c r="N111" s="102"/>
      <c r="O111" s="102"/>
      <c r="P111" s="102"/>
      <c r="Q111" s="59"/>
      <c r="R111" s="102"/>
      <c r="S111" s="102"/>
      <c r="T111" s="102"/>
      <c r="U111" s="102"/>
      <c r="V111" s="102"/>
      <c r="W111" s="102"/>
      <c r="X111" s="102"/>
      <c r="Y111" s="102"/>
      <c r="Z111" s="102"/>
      <c r="AA111" s="102"/>
      <c r="AB111" s="102"/>
      <c r="AC111" s="20"/>
      <c r="AD111" s="20"/>
      <c r="AE111" s="20"/>
      <c r="AF111" s="20"/>
      <c r="AG111" s="20"/>
      <c r="AH111" s="263"/>
      <c r="AI111" s="263"/>
      <c r="AJ111" s="263"/>
      <c r="AK111" s="263"/>
      <c r="AL111" s="263"/>
      <c r="AM111" s="263"/>
      <c r="AN111" s="263"/>
      <c r="AO111" s="263"/>
      <c r="AP111" s="263"/>
      <c r="AQ111" s="263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</row>
    <row r="112" spans="2:73" s="5" customFormat="1" ht="20.100000000000001" customHeight="1" x14ac:dyDescent="0.25">
      <c r="B112" s="102"/>
      <c r="C112" s="102"/>
      <c r="D112" s="102"/>
      <c r="E112" s="102"/>
      <c r="F112" s="102"/>
      <c r="G112" s="102"/>
      <c r="H112" s="102"/>
      <c r="I112" s="20"/>
      <c r="J112" s="102"/>
      <c r="K112" s="102"/>
      <c r="L112" s="102"/>
      <c r="M112" s="102"/>
      <c r="N112" s="102"/>
      <c r="O112" s="102"/>
      <c r="P112" s="102"/>
      <c r="Q112" s="59"/>
      <c r="R112" s="102"/>
      <c r="S112" s="102"/>
      <c r="T112" s="102"/>
      <c r="U112" s="102"/>
      <c r="V112" s="102"/>
      <c r="W112" s="102"/>
      <c r="X112" s="102"/>
      <c r="Y112" s="102"/>
      <c r="Z112" s="102"/>
      <c r="AA112" s="102"/>
      <c r="AB112" s="102"/>
      <c r="AC112" s="20"/>
      <c r="AD112" s="20"/>
      <c r="AE112" s="20"/>
      <c r="AF112" s="102"/>
      <c r="AG112" s="102"/>
      <c r="AH112" s="263"/>
      <c r="AI112" s="263"/>
      <c r="AJ112" s="263"/>
      <c r="AK112" s="263"/>
      <c r="AL112" s="263"/>
      <c r="AM112" s="263"/>
      <c r="AN112" s="263"/>
      <c r="AO112" s="263"/>
      <c r="AP112" s="263"/>
      <c r="AQ112" s="263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</row>
    <row r="113" spans="2:73" s="5" customFormat="1" ht="20.100000000000001" customHeight="1" x14ac:dyDescent="0.25">
      <c r="B113" s="102"/>
      <c r="C113" s="102"/>
      <c r="D113" s="102"/>
      <c r="E113" s="102"/>
      <c r="F113" s="102"/>
      <c r="G113" s="102"/>
      <c r="H113" s="102"/>
      <c r="I113" s="20"/>
      <c r="J113" s="102"/>
      <c r="K113" s="102"/>
      <c r="L113" s="102"/>
      <c r="M113" s="102"/>
      <c r="N113" s="102"/>
      <c r="O113" s="102"/>
      <c r="P113" s="102"/>
      <c r="Q113" s="59"/>
      <c r="R113" s="102"/>
      <c r="S113" s="102"/>
      <c r="T113" s="102"/>
      <c r="U113" s="102"/>
      <c r="V113" s="102"/>
      <c r="W113" s="102"/>
      <c r="X113" s="102"/>
      <c r="Y113" s="102"/>
      <c r="Z113" s="102"/>
      <c r="AA113" s="102"/>
      <c r="AB113" s="102"/>
      <c r="AC113" s="20"/>
      <c r="AD113" s="20"/>
      <c r="AE113" s="20"/>
      <c r="AF113" s="102"/>
      <c r="AG113" s="102"/>
      <c r="AH113" s="263"/>
      <c r="AI113" s="263"/>
      <c r="AJ113" s="263"/>
      <c r="AK113" s="263"/>
      <c r="AL113" s="263"/>
      <c r="AM113" s="263"/>
      <c r="AN113" s="263"/>
      <c r="AO113" s="263"/>
      <c r="AP113" s="263"/>
      <c r="AQ113" s="263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</row>
    <row r="114" spans="2:73" s="5" customFormat="1" ht="20.100000000000001" customHeight="1" x14ac:dyDescent="0.25">
      <c r="B114" s="102"/>
      <c r="C114" s="102"/>
      <c r="D114" s="102"/>
      <c r="E114" s="102"/>
      <c r="F114" s="102"/>
      <c r="G114" s="102"/>
      <c r="H114" s="102"/>
      <c r="I114" s="102"/>
      <c r="J114" s="102"/>
      <c r="K114" s="102"/>
      <c r="L114" s="102"/>
      <c r="M114" s="102"/>
      <c r="N114" s="102"/>
      <c r="O114" s="102"/>
      <c r="P114" s="102"/>
      <c r="Q114" s="59"/>
      <c r="R114" s="102"/>
      <c r="S114" s="102"/>
      <c r="T114" s="102"/>
      <c r="U114" s="102"/>
      <c r="V114" s="102"/>
      <c r="W114" s="102"/>
      <c r="X114" s="102"/>
      <c r="Y114" s="102"/>
      <c r="Z114" s="102"/>
      <c r="AA114" s="102"/>
      <c r="AB114" s="102"/>
      <c r="AC114" s="20"/>
      <c r="AD114" s="20"/>
      <c r="AE114" s="20"/>
      <c r="AF114" s="102"/>
      <c r="AG114" s="102"/>
      <c r="AH114" s="263"/>
      <c r="AI114" s="263"/>
      <c r="AJ114" s="263"/>
      <c r="AK114" s="263"/>
      <c r="AL114" s="263"/>
      <c r="AM114" s="263"/>
      <c r="AN114" s="263"/>
      <c r="AO114" s="263"/>
      <c r="AP114" s="263"/>
      <c r="AQ114" s="263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</row>
    <row r="115" spans="2:73" s="5" customFormat="1" ht="20.100000000000001" customHeight="1" x14ac:dyDescent="0.25">
      <c r="B115" s="102"/>
      <c r="C115" s="102"/>
      <c r="D115" s="102"/>
      <c r="E115" s="102"/>
      <c r="F115" s="102"/>
      <c r="G115" s="102"/>
      <c r="H115" s="102"/>
      <c r="I115" s="102"/>
      <c r="J115" s="102"/>
      <c r="K115" s="102"/>
      <c r="L115" s="102"/>
      <c r="M115" s="102"/>
      <c r="N115" s="102"/>
      <c r="O115" s="102"/>
      <c r="P115" s="102"/>
      <c r="Q115" s="59"/>
      <c r="R115" s="102"/>
      <c r="S115" s="102"/>
      <c r="T115" s="102"/>
      <c r="U115" s="102"/>
      <c r="V115" s="102"/>
      <c r="W115" s="102"/>
      <c r="X115" s="102"/>
      <c r="Y115" s="102"/>
      <c r="Z115" s="102"/>
      <c r="AA115" s="102"/>
      <c r="AB115" s="102"/>
      <c r="AC115" s="20"/>
      <c r="AD115" s="20"/>
      <c r="AE115" s="20"/>
      <c r="AF115" s="102"/>
      <c r="AG115" s="102"/>
      <c r="AH115" s="263"/>
      <c r="AI115" s="263"/>
      <c r="AJ115" s="263"/>
      <c r="AK115" s="263"/>
      <c r="AL115" s="263"/>
      <c r="AM115" s="263"/>
      <c r="AN115" s="263"/>
      <c r="AO115" s="263"/>
      <c r="AP115" s="263"/>
      <c r="AQ115" s="263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</row>
    <row r="116" spans="2:73" s="5" customFormat="1" ht="20.100000000000001" customHeight="1" x14ac:dyDescent="0.25">
      <c r="B116" s="102"/>
      <c r="C116" s="102"/>
      <c r="D116" s="102"/>
      <c r="E116" s="102"/>
      <c r="F116" s="102"/>
      <c r="G116" s="102"/>
      <c r="H116" s="102"/>
      <c r="I116" s="102"/>
      <c r="J116" s="102"/>
      <c r="K116" s="102"/>
      <c r="L116" s="102"/>
      <c r="M116" s="102"/>
      <c r="N116" s="102"/>
      <c r="O116" s="102"/>
      <c r="P116" s="102"/>
      <c r="Q116" s="59"/>
      <c r="R116" s="102"/>
      <c r="S116" s="102"/>
      <c r="T116" s="102"/>
      <c r="U116" s="102"/>
      <c r="V116" s="102"/>
      <c r="W116" s="102"/>
      <c r="X116" s="102"/>
      <c r="Y116" s="102"/>
      <c r="Z116" s="102"/>
      <c r="AA116" s="102"/>
      <c r="AB116" s="102"/>
      <c r="AC116" s="20"/>
      <c r="AD116" s="20"/>
      <c r="AE116" s="20"/>
      <c r="AF116" s="102"/>
      <c r="AG116" s="102"/>
      <c r="AH116" s="263"/>
      <c r="AI116" s="263"/>
      <c r="AJ116" s="263"/>
      <c r="AK116" s="263"/>
      <c r="AL116" s="263"/>
      <c r="AM116" s="263"/>
      <c r="AN116" s="263"/>
      <c r="AO116" s="263"/>
      <c r="AP116" s="263"/>
      <c r="AQ116" s="263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</row>
    <row r="117" spans="2:73" s="5" customFormat="1" ht="20.100000000000001" customHeight="1" x14ac:dyDescent="0.25">
      <c r="B117" s="102"/>
      <c r="C117" s="102"/>
      <c r="D117" s="102"/>
      <c r="E117" s="102"/>
      <c r="F117" s="102"/>
      <c r="G117" s="102"/>
      <c r="H117" s="102"/>
      <c r="I117" s="102"/>
      <c r="J117" s="102"/>
      <c r="K117" s="102"/>
      <c r="L117" s="102"/>
      <c r="M117" s="102"/>
      <c r="N117" s="102"/>
      <c r="O117" s="102"/>
      <c r="P117" s="102"/>
      <c r="Q117" s="59"/>
      <c r="R117" s="102"/>
      <c r="S117" s="102"/>
      <c r="T117" s="102"/>
      <c r="U117" s="102"/>
      <c r="V117" s="102"/>
      <c r="W117" s="102"/>
      <c r="X117" s="102"/>
      <c r="Y117" s="102"/>
      <c r="Z117" s="102"/>
      <c r="AA117" s="102"/>
      <c r="AB117" s="102"/>
      <c r="AC117" s="20"/>
      <c r="AD117" s="20"/>
      <c r="AE117" s="20"/>
      <c r="AF117" s="102"/>
      <c r="AG117" s="102"/>
      <c r="AH117" s="263"/>
      <c r="AI117" s="263"/>
      <c r="AJ117" s="263"/>
      <c r="AK117" s="263"/>
      <c r="AL117" s="263"/>
      <c r="AM117" s="263"/>
      <c r="AN117" s="263"/>
      <c r="AO117" s="263"/>
      <c r="AP117" s="263"/>
      <c r="AQ117" s="263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</row>
    <row r="118" spans="2:73" s="5" customFormat="1" ht="20.100000000000001" customHeight="1" x14ac:dyDescent="0.25">
      <c r="B118" s="102"/>
      <c r="C118" s="102"/>
      <c r="D118" s="102"/>
      <c r="E118" s="102"/>
      <c r="F118" s="102"/>
      <c r="G118" s="102"/>
      <c r="H118" s="102"/>
      <c r="I118" s="102"/>
      <c r="J118" s="102"/>
      <c r="K118" s="102"/>
      <c r="L118" s="102"/>
      <c r="M118" s="102"/>
      <c r="N118" s="102"/>
      <c r="O118" s="102"/>
      <c r="P118" s="102"/>
      <c r="Q118" s="59"/>
      <c r="R118" s="102"/>
      <c r="S118" s="102"/>
      <c r="T118" s="102"/>
      <c r="U118" s="102"/>
      <c r="V118" s="102"/>
      <c r="W118" s="102"/>
      <c r="X118" s="102"/>
      <c r="Y118" s="102"/>
      <c r="Z118" s="102"/>
      <c r="AA118" s="102"/>
      <c r="AB118" s="102"/>
      <c r="AC118" s="20"/>
      <c r="AD118" s="20"/>
      <c r="AE118" s="20"/>
      <c r="AF118" s="102"/>
      <c r="AG118" s="102"/>
      <c r="AH118" s="263"/>
      <c r="AI118" s="263"/>
      <c r="AJ118" s="263"/>
      <c r="AK118" s="263"/>
      <c r="AL118" s="263"/>
      <c r="AM118" s="263"/>
      <c r="AN118" s="263"/>
      <c r="AO118" s="263"/>
      <c r="AP118" s="263"/>
      <c r="AQ118" s="263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</row>
    <row r="119" spans="2:73" s="5" customFormat="1" ht="20.100000000000001" customHeight="1" x14ac:dyDescent="0.25">
      <c r="B119" s="102"/>
      <c r="C119" s="102"/>
      <c r="D119" s="102"/>
      <c r="E119" s="102"/>
      <c r="F119" s="102"/>
      <c r="G119" s="102"/>
      <c r="H119" s="102"/>
      <c r="I119" s="102"/>
      <c r="J119" s="102"/>
      <c r="K119" s="102"/>
      <c r="L119" s="102"/>
      <c r="M119" s="102"/>
      <c r="N119" s="102"/>
      <c r="O119" s="102"/>
      <c r="P119" s="102"/>
      <c r="Q119" s="59"/>
      <c r="R119" s="102"/>
      <c r="S119" s="102"/>
      <c r="T119" s="102"/>
      <c r="U119" s="102"/>
      <c r="V119" s="102"/>
      <c r="W119" s="102"/>
      <c r="X119" s="102"/>
      <c r="Y119" s="102"/>
      <c r="Z119" s="102"/>
      <c r="AA119" s="102"/>
      <c r="AB119" s="102"/>
      <c r="AC119" s="20"/>
      <c r="AD119" s="20"/>
      <c r="AE119" s="20"/>
      <c r="AF119" s="102"/>
      <c r="AG119" s="102"/>
      <c r="AH119" s="263"/>
      <c r="AI119" s="263"/>
      <c r="AJ119" s="263"/>
      <c r="AK119" s="263"/>
      <c r="AL119" s="263"/>
      <c r="AM119" s="263"/>
      <c r="AN119" s="263"/>
      <c r="AO119" s="263"/>
      <c r="AP119" s="263"/>
      <c r="AQ119" s="263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</row>
    <row r="120" spans="2:73" s="5" customFormat="1" ht="20.100000000000001" customHeight="1" x14ac:dyDescent="0.25">
      <c r="B120" s="102"/>
      <c r="C120" s="102"/>
      <c r="D120" s="102"/>
      <c r="E120" s="102"/>
      <c r="F120" s="102"/>
      <c r="G120" s="102"/>
      <c r="H120" s="102"/>
      <c r="I120" s="102"/>
      <c r="J120" s="102"/>
      <c r="K120" s="102"/>
      <c r="L120" s="102"/>
      <c r="M120" s="102"/>
      <c r="N120" s="102"/>
      <c r="O120" s="102"/>
      <c r="P120" s="102"/>
      <c r="Q120" s="59"/>
      <c r="R120" s="102"/>
      <c r="S120" s="102"/>
      <c r="T120" s="102"/>
      <c r="U120" s="102"/>
      <c r="V120" s="102"/>
      <c r="W120" s="102"/>
      <c r="X120" s="102"/>
      <c r="Y120" s="102"/>
      <c r="Z120" s="102"/>
      <c r="AA120" s="102"/>
      <c r="AB120" s="102"/>
      <c r="AC120" s="20"/>
      <c r="AD120" s="20"/>
      <c r="AE120" s="20"/>
      <c r="AF120" s="102"/>
      <c r="AG120" s="102"/>
      <c r="AH120" s="263"/>
      <c r="AI120" s="263"/>
      <c r="AJ120" s="263"/>
      <c r="AK120" s="263"/>
      <c r="AL120" s="263"/>
      <c r="AM120" s="263"/>
      <c r="AN120" s="263"/>
      <c r="AO120" s="263"/>
      <c r="AP120" s="263"/>
      <c r="AQ120" s="263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</row>
    <row r="121" spans="2:73" s="5" customFormat="1" ht="20.100000000000001" customHeight="1" x14ac:dyDescent="0.25">
      <c r="B121" s="102"/>
      <c r="C121" s="102"/>
      <c r="D121" s="102"/>
      <c r="E121" s="102"/>
      <c r="F121" s="102"/>
      <c r="G121" s="102"/>
      <c r="H121" s="102"/>
      <c r="I121" s="102"/>
      <c r="J121" s="102"/>
      <c r="K121" s="102"/>
      <c r="L121" s="102"/>
      <c r="M121" s="102"/>
      <c r="N121" s="102"/>
      <c r="O121" s="102"/>
      <c r="P121" s="102"/>
      <c r="Q121" s="59"/>
      <c r="R121" s="102"/>
      <c r="S121" s="102"/>
      <c r="T121" s="102"/>
      <c r="U121" s="102"/>
      <c r="V121" s="102"/>
      <c r="W121" s="102"/>
      <c r="X121" s="102"/>
      <c r="Y121" s="102"/>
      <c r="Z121" s="102"/>
      <c r="AA121" s="102"/>
      <c r="AB121" s="102"/>
      <c r="AC121" s="20"/>
      <c r="AD121" s="20"/>
      <c r="AE121" s="20"/>
      <c r="AF121" s="102"/>
      <c r="AG121" s="102"/>
      <c r="AH121" s="102"/>
      <c r="AI121" s="102"/>
      <c r="AJ121" s="102"/>
      <c r="AK121" s="102"/>
      <c r="AL121" s="102"/>
      <c r="AM121" s="102"/>
      <c r="AN121" s="102"/>
      <c r="AO121" s="102"/>
      <c r="AP121" s="102"/>
      <c r="AQ121" s="102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</row>
    <row r="122" spans="2:73" s="5" customFormat="1" ht="20.100000000000001" customHeight="1" x14ac:dyDescent="0.25">
      <c r="B122" s="102"/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102"/>
      <c r="N122" s="102"/>
      <c r="O122" s="102"/>
      <c r="P122" s="102"/>
      <c r="Q122" s="59"/>
      <c r="R122" s="102"/>
      <c r="S122" s="102"/>
      <c r="T122" s="102"/>
      <c r="U122" s="102"/>
      <c r="V122" s="102"/>
      <c r="W122" s="102"/>
      <c r="X122" s="102"/>
      <c r="Y122" s="102"/>
      <c r="Z122" s="102"/>
      <c r="AA122" s="102"/>
      <c r="AB122" s="102"/>
      <c r="AC122" s="20"/>
      <c r="AD122" s="20"/>
      <c r="AE122" s="20"/>
      <c r="AF122" s="102"/>
      <c r="AG122" s="102"/>
      <c r="AH122" s="102"/>
      <c r="AI122" s="102"/>
      <c r="AJ122" s="102"/>
      <c r="AK122" s="102"/>
      <c r="AL122" s="102"/>
      <c r="AM122" s="102"/>
      <c r="AN122" s="102"/>
      <c r="AO122" s="102"/>
      <c r="AP122" s="102"/>
      <c r="AQ122" s="102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</row>
    <row r="123" spans="2:73" s="5" customFormat="1" ht="20.100000000000001" customHeight="1" x14ac:dyDescent="0.25">
      <c r="B123" s="102"/>
      <c r="C123" s="102"/>
      <c r="D123" s="102"/>
      <c r="E123" s="102"/>
      <c r="F123" s="102"/>
      <c r="G123" s="102"/>
      <c r="H123" s="102"/>
      <c r="I123" s="102"/>
      <c r="J123" s="102"/>
      <c r="K123" s="102"/>
      <c r="L123" s="102"/>
      <c r="M123" s="102"/>
      <c r="N123" s="102"/>
      <c r="O123" s="102"/>
      <c r="P123" s="102"/>
      <c r="Q123" s="59"/>
      <c r="R123" s="102"/>
      <c r="S123" s="102"/>
      <c r="T123" s="102"/>
      <c r="U123" s="102"/>
      <c r="V123" s="102"/>
      <c r="W123" s="102"/>
      <c r="X123" s="102"/>
      <c r="Y123" s="102"/>
      <c r="Z123" s="102"/>
      <c r="AA123" s="102"/>
      <c r="AB123" s="102"/>
      <c r="AC123" s="20"/>
      <c r="AD123" s="20"/>
      <c r="AE123" s="20"/>
      <c r="AF123" s="102"/>
      <c r="AG123" s="102"/>
      <c r="AH123" s="102"/>
      <c r="AI123" s="102"/>
      <c r="AJ123" s="102"/>
      <c r="AK123" s="102"/>
      <c r="AL123" s="102"/>
      <c r="AM123" s="102"/>
      <c r="AN123" s="102"/>
      <c r="AO123" s="102"/>
      <c r="AP123" s="102"/>
      <c r="AQ123" s="102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</row>
    <row r="124" spans="2:73" s="5" customFormat="1" ht="20.100000000000001" customHeight="1" x14ac:dyDescent="0.25">
      <c r="B124" s="102"/>
      <c r="C124" s="102"/>
      <c r="D124" s="102"/>
      <c r="E124" s="102"/>
      <c r="F124" s="102"/>
      <c r="G124" s="102"/>
      <c r="H124" s="102"/>
      <c r="I124" s="102"/>
      <c r="J124" s="102"/>
      <c r="K124" s="102"/>
      <c r="L124" s="102"/>
      <c r="M124" s="102"/>
      <c r="N124" s="102"/>
      <c r="O124" s="102"/>
      <c r="P124" s="102"/>
      <c r="Q124" s="59"/>
      <c r="R124" s="102"/>
      <c r="S124" s="102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20"/>
      <c r="AD124" s="20"/>
      <c r="AE124" s="20"/>
      <c r="AF124" s="102"/>
      <c r="AG124" s="102"/>
      <c r="AH124" s="102"/>
      <c r="AI124" s="102"/>
      <c r="AJ124" s="102"/>
      <c r="AK124" s="102"/>
      <c r="AL124" s="102"/>
      <c r="AM124" s="102"/>
      <c r="AN124" s="102"/>
      <c r="AO124" s="102"/>
      <c r="AP124" s="102"/>
      <c r="AQ124" s="102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</row>
    <row r="125" spans="2:73" s="5" customFormat="1" ht="20.100000000000001" customHeight="1" x14ac:dyDescent="0.25">
      <c r="B125" s="102"/>
      <c r="C125" s="102"/>
      <c r="D125" s="102"/>
      <c r="E125" s="102"/>
      <c r="F125" s="102"/>
      <c r="G125" s="102"/>
      <c r="H125" s="102"/>
      <c r="I125" s="102"/>
      <c r="J125" s="102"/>
      <c r="K125" s="102"/>
      <c r="L125" s="102"/>
      <c r="M125" s="102"/>
      <c r="N125" s="102"/>
      <c r="O125" s="102"/>
      <c r="P125" s="102"/>
      <c r="Q125" s="59"/>
      <c r="R125" s="102"/>
      <c r="S125" s="102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20"/>
      <c r="AD125" s="20"/>
      <c r="AE125" s="20"/>
      <c r="AF125" s="102"/>
      <c r="AG125" s="102"/>
      <c r="AH125" s="102"/>
      <c r="AI125" s="102"/>
      <c r="AJ125" s="102"/>
      <c r="AK125" s="102"/>
      <c r="AL125" s="102"/>
      <c r="AM125" s="102"/>
      <c r="AN125" s="102"/>
      <c r="AO125" s="102"/>
      <c r="AP125" s="102"/>
      <c r="AQ125" s="102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</row>
    <row r="126" spans="2:73" s="5" customFormat="1" ht="20.100000000000001" customHeight="1" x14ac:dyDescent="0.25">
      <c r="B126" s="102"/>
      <c r="C126" s="102"/>
      <c r="D126" s="102"/>
      <c r="E126" s="102"/>
      <c r="F126" s="102"/>
      <c r="G126" s="102"/>
      <c r="H126" s="102"/>
      <c r="I126" s="102"/>
      <c r="J126" s="102"/>
      <c r="K126" s="102"/>
      <c r="L126" s="102"/>
      <c r="M126" s="102"/>
      <c r="N126" s="102"/>
      <c r="O126" s="102"/>
      <c r="P126" s="102"/>
      <c r="Q126" s="59"/>
      <c r="R126" s="102"/>
      <c r="S126" s="102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20"/>
      <c r="AD126" s="20"/>
      <c r="AE126" s="20"/>
      <c r="AF126" s="102"/>
      <c r="AG126" s="102"/>
      <c r="AH126" s="102"/>
      <c r="AI126" s="102"/>
      <c r="AJ126" s="102"/>
      <c r="AK126" s="102"/>
      <c r="AL126" s="102"/>
      <c r="AM126" s="102"/>
      <c r="AN126" s="102"/>
      <c r="AO126" s="102"/>
      <c r="AP126" s="102"/>
      <c r="AQ126" s="102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</row>
    <row r="127" spans="2:73" s="5" customFormat="1" ht="20.100000000000001" customHeight="1" x14ac:dyDescent="0.25">
      <c r="B127" s="102"/>
      <c r="C127" s="102"/>
      <c r="D127" s="102"/>
      <c r="E127" s="102"/>
      <c r="F127" s="102"/>
      <c r="G127" s="102"/>
      <c r="H127" s="102"/>
      <c r="I127" s="102"/>
      <c r="J127" s="102"/>
      <c r="K127" s="102"/>
      <c r="L127" s="102"/>
      <c r="M127" s="102"/>
      <c r="N127" s="102"/>
      <c r="O127" s="102"/>
      <c r="P127" s="102"/>
      <c r="Q127" s="59"/>
      <c r="R127" s="102"/>
      <c r="S127" s="102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20"/>
      <c r="AD127" s="20"/>
      <c r="AE127" s="20"/>
      <c r="AF127" s="102"/>
      <c r="AG127" s="102"/>
      <c r="AH127" s="102"/>
      <c r="AI127" s="102"/>
      <c r="AJ127" s="102"/>
      <c r="AK127" s="102"/>
      <c r="AL127" s="102"/>
      <c r="AM127" s="102"/>
      <c r="AN127" s="102"/>
      <c r="AO127" s="102"/>
      <c r="AP127" s="102"/>
      <c r="AQ127" s="102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</row>
    <row r="128" spans="2:73" s="5" customFormat="1" ht="20.100000000000001" customHeight="1" x14ac:dyDescent="0.25">
      <c r="B128" s="102"/>
      <c r="C128" s="102"/>
      <c r="D128" s="102"/>
      <c r="E128" s="102"/>
      <c r="F128" s="102"/>
      <c r="G128" s="102"/>
      <c r="H128" s="102"/>
      <c r="I128" s="102"/>
      <c r="J128" s="102"/>
      <c r="K128" s="102"/>
      <c r="L128" s="102"/>
      <c r="M128" s="102"/>
      <c r="N128" s="102"/>
      <c r="O128" s="102"/>
      <c r="P128" s="102"/>
      <c r="Q128" s="59"/>
      <c r="R128" s="102"/>
      <c r="S128" s="102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20"/>
      <c r="AD128" s="20"/>
      <c r="AE128" s="20"/>
      <c r="AF128" s="102"/>
      <c r="AG128" s="102"/>
      <c r="AH128" s="102"/>
      <c r="AI128" s="102"/>
      <c r="AJ128" s="102"/>
      <c r="AK128" s="102"/>
      <c r="AL128" s="102"/>
      <c r="AM128" s="102"/>
      <c r="AN128" s="102"/>
      <c r="AO128" s="102"/>
      <c r="AP128" s="102"/>
      <c r="AQ128" s="102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</row>
    <row r="129" spans="2:73" s="5" customFormat="1" ht="20.100000000000001" customHeight="1" x14ac:dyDescent="0.25">
      <c r="B129" s="102"/>
      <c r="C129" s="102"/>
      <c r="D129" s="102"/>
      <c r="E129" s="102"/>
      <c r="F129" s="102"/>
      <c r="G129" s="102"/>
      <c r="H129" s="102"/>
      <c r="I129" s="102"/>
      <c r="J129" s="102"/>
      <c r="K129" s="102"/>
      <c r="L129" s="102"/>
      <c r="M129" s="102"/>
      <c r="N129" s="102"/>
      <c r="O129" s="102"/>
      <c r="P129" s="102"/>
      <c r="Q129" s="59"/>
      <c r="R129" s="102"/>
      <c r="S129" s="102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20"/>
      <c r="AD129" s="20"/>
      <c r="AE129" s="20"/>
      <c r="AF129" s="102"/>
      <c r="AG129" s="102"/>
      <c r="AH129" s="102"/>
      <c r="AI129" s="102"/>
      <c r="AJ129" s="102"/>
      <c r="AK129" s="102"/>
      <c r="AL129" s="102"/>
      <c r="AM129" s="102"/>
      <c r="AN129" s="102"/>
      <c r="AO129" s="102"/>
      <c r="AP129" s="102"/>
      <c r="AQ129" s="102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</row>
    <row r="130" spans="2:73" s="5" customFormat="1" ht="20.100000000000001" customHeight="1" x14ac:dyDescent="0.25">
      <c r="B130" s="102"/>
      <c r="C130" s="102"/>
      <c r="D130" s="102"/>
      <c r="E130" s="102"/>
      <c r="F130" s="102"/>
      <c r="G130" s="102"/>
      <c r="H130" s="102"/>
      <c r="I130" s="102"/>
      <c r="J130" s="102"/>
      <c r="K130" s="102"/>
      <c r="L130" s="102"/>
      <c r="M130" s="102"/>
      <c r="N130" s="102"/>
      <c r="O130" s="102"/>
      <c r="P130" s="102"/>
      <c r="Q130" s="59"/>
      <c r="R130" s="102"/>
      <c r="S130" s="102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20"/>
      <c r="AD130" s="20"/>
      <c r="AE130" s="20"/>
      <c r="AF130" s="102"/>
      <c r="AG130" s="102"/>
      <c r="AH130" s="102"/>
      <c r="AI130" s="102"/>
      <c r="AJ130" s="102"/>
      <c r="AK130" s="102"/>
      <c r="AL130" s="102"/>
      <c r="AM130" s="102"/>
      <c r="AN130" s="102"/>
      <c r="AO130" s="102"/>
      <c r="AP130" s="102"/>
      <c r="AQ130" s="102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</row>
    <row r="131" spans="2:73" s="5" customFormat="1" ht="20.100000000000001" customHeight="1" x14ac:dyDescent="0.25">
      <c r="B131" s="102"/>
      <c r="C131" s="102"/>
      <c r="D131" s="102"/>
      <c r="E131" s="102"/>
      <c r="F131" s="102"/>
      <c r="G131" s="102"/>
      <c r="H131" s="102"/>
      <c r="I131" s="102"/>
      <c r="J131" s="102"/>
      <c r="K131" s="102"/>
      <c r="L131" s="102"/>
      <c r="M131" s="102"/>
      <c r="N131" s="102"/>
      <c r="O131" s="102"/>
      <c r="P131" s="102"/>
      <c r="Q131" s="59"/>
      <c r="R131" s="102"/>
      <c r="S131" s="102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20"/>
      <c r="AD131" s="20"/>
      <c r="AE131" s="20"/>
      <c r="AF131" s="102"/>
      <c r="AG131" s="102"/>
      <c r="AH131" s="102"/>
      <c r="AI131" s="102"/>
      <c r="AJ131" s="102"/>
      <c r="AK131" s="102"/>
      <c r="AL131" s="102"/>
      <c r="AM131" s="102"/>
      <c r="AN131" s="102"/>
      <c r="AO131" s="102"/>
      <c r="AP131" s="102"/>
      <c r="AQ131" s="102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</row>
    <row r="132" spans="2:73" s="5" customFormat="1" ht="20.100000000000001" customHeight="1" x14ac:dyDescent="0.25">
      <c r="B132" s="102"/>
      <c r="C132" s="102"/>
      <c r="D132" s="102"/>
      <c r="E132" s="102"/>
      <c r="F132" s="102"/>
      <c r="G132" s="102"/>
      <c r="H132" s="102"/>
      <c r="I132" s="102"/>
      <c r="J132" s="102"/>
      <c r="K132" s="102"/>
      <c r="L132" s="102"/>
      <c r="M132" s="102"/>
      <c r="N132" s="102"/>
      <c r="O132" s="102"/>
      <c r="P132" s="102"/>
      <c r="Q132" s="59"/>
      <c r="R132" s="102"/>
      <c r="S132" s="102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20"/>
      <c r="AD132" s="20"/>
      <c r="AE132" s="20"/>
      <c r="AF132" s="102"/>
      <c r="AG132" s="102"/>
      <c r="AH132" s="102"/>
      <c r="AI132" s="102"/>
      <c r="AJ132" s="102"/>
      <c r="AK132" s="102"/>
      <c r="AL132" s="102"/>
      <c r="AM132" s="102"/>
      <c r="AN132" s="102"/>
      <c r="AO132" s="102"/>
      <c r="AP132" s="102"/>
      <c r="AQ132" s="102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</row>
    <row r="133" spans="2:73" s="5" customFormat="1" ht="20.100000000000001" customHeight="1" x14ac:dyDescent="0.25">
      <c r="B133" s="102"/>
      <c r="C133" s="102"/>
      <c r="D133" s="102"/>
      <c r="E133" s="102"/>
      <c r="F133" s="102"/>
      <c r="G133" s="102"/>
      <c r="H133" s="102"/>
      <c r="I133" s="102"/>
      <c r="J133" s="102"/>
      <c r="K133" s="102"/>
      <c r="L133" s="102"/>
      <c r="M133" s="102"/>
      <c r="N133" s="102"/>
      <c r="O133" s="102"/>
      <c r="P133" s="102"/>
      <c r="Q133" s="59"/>
      <c r="R133" s="102"/>
      <c r="S133" s="102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20"/>
      <c r="AD133" s="20"/>
      <c r="AE133" s="20"/>
      <c r="AF133" s="102"/>
      <c r="AG133" s="102"/>
      <c r="AH133" s="102"/>
      <c r="AI133" s="102"/>
      <c r="AJ133" s="102"/>
      <c r="AK133" s="102"/>
      <c r="AL133" s="102"/>
      <c r="AM133" s="102"/>
      <c r="AN133" s="102"/>
      <c r="AO133" s="102"/>
      <c r="AP133" s="102"/>
      <c r="AQ133" s="102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</row>
    <row r="134" spans="2:73" s="5" customFormat="1" ht="20.100000000000001" customHeight="1" x14ac:dyDescent="0.25">
      <c r="B134" s="102"/>
      <c r="C134" s="102"/>
      <c r="D134" s="102"/>
      <c r="E134" s="102"/>
      <c r="F134" s="102"/>
      <c r="G134" s="102"/>
      <c r="H134" s="102"/>
      <c r="I134" s="102"/>
      <c r="J134" s="102"/>
      <c r="K134" s="102"/>
      <c r="L134" s="102"/>
      <c r="M134" s="102"/>
      <c r="N134" s="102"/>
      <c r="O134" s="102"/>
      <c r="P134" s="102"/>
      <c r="Q134" s="59"/>
      <c r="R134" s="102"/>
      <c r="S134" s="102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20"/>
      <c r="AD134" s="20"/>
      <c r="AE134" s="20"/>
      <c r="AF134" s="102"/>
      <c r="AG134" s="102"/>
      <c r="AH134" s="102"/>
      <c r="AI134" s="102"/>
      <c r="AJ134" s="102"/>
      <c r="AK134" s="102"/>
      <c r="AL134" s="102"/>
      <c r="AM134" s="102"/>
      <c r="AN134" s="102"/>
      <c r="AO134" s="102"/>
      <c r="AP134" s="102"/>
      <c r="AQ134" s="102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</row>
    <row r="135" spans="2:73" s="5" customFormat="1" ht="20.100000000000001" customHeight="1" x14ac:dyDescent="0.25">
      <c r="B135" s="102"/>
      <c r="C135" s="102"/>
      <c r="D135" s="102"/>
      <c r="E135" s="102"/>
      <c r="F135" s="102"/>
      <c r="G135" s="102"/>
      <c r="H135" s="102"/>
      <c r="I135" s="102"/>
      <c r="J135" s="102"/>
      <c r="K135" s="102"/>
      <c r="L135" s="102"/>
      <c r="M135" s="102"/>
      <c r="N135" s="102"/>
      <c r="O135" s="102"/>
      <c r="P135" s="102"/>
      <c r="Q135" s="59"/>
      <c r="R135" s="102"/>
      <c r="S135" s="102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20"/>
      <c r="AD135" s="20"/>
      <c r="AE135" s="20"/>
      <c r="AF135" s="102"/>
      <c r="AG135" s="102"/>
      <c r="AH135" s="102"/>
      <c r="AI135" s="102"/>
      <c r="AJ135" s="102"/>
      <c r="AK135" s="102"/>
      <c r="AL135" s="102"/>
      <c r="AM135" s="102"/>
      <c r="AN135" s="102"/>
      <c r="AO135" s="102"/>
      <c r="AP135" s="102"/>
      <c r="AQ135" s="102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</row>
    <row r="136" spans="2:73" s="5" customFormat="1" ht="20.100000000000001" customHeight="1" x14ac:dyDescent="0.25">
      <c r="B136" s="102"/>
      <c r="C136" s="102"/>
      <c r="D136" s="102"/>
      <c r="E136" s="102"/>
      <c r="F136" s="102"/>
      <c r="G136" s="102"/>
      <c r="H136" s="102"/>
      <c r="I136" s="102"/>
      <c r="J136" s="102"/>
      <c r="K136" s="102"/>
      <c r="L136" s="102"/>
      <c r="M136" s="102"/>
      <c r="N136" s="102"/>
      <c r="O136" s="102"/>
      <c r="P136" s="102"/>
      <c r="Q136" s="59"/>
      <c r="R136" s="102"/>
      <c r="S136" s="102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20"/>
      <c r="AD136" s="20"/>
      <c r="AE136" s="20"/>
      <c r="AF136" s="102"/>
      <c r="AG136" s="102"/>
      <c r="AH136" s="102"/>
      <c r="AI136" s="102"/>
      <c r="AJ136" s="102"/>
      <c r="AK136" s="102"/>
      <c r="AL136" s="102"/>
      <c r="AM136" s="102"/>
      <c r="AN136" s="102"/>
      <c r="AO136" s="102"/>
      <c r="AP136" s="102"/>
      <c r="AQ136" s="102"/>
    </row>
    <row r="137" spans="2:73" s="5" customFormat="1" ht="20.100000000000001" customHeight="1" x14ac:dyDescent="0.25">
      <c r="B137" s="102"/>
      <c r="C137" s="102"/>
      <c r="D137" s="102"/>
      <c r="E137" s="102"/>
      <c r="F137" s="102"/>
      <c r="G137" s="102"/>
      <c r="H137" s="102"/>
      <c r="I137" s="102"/>
      <c r="J137" s="102"/>
      <c r="K137" s="102"/>
      <c r="L137" s="102"/>
      <c r="M137" s="102"/>
      <c r="N137" s="102"/>
      <c r="O137" s="102"/>
      <c r="P137" s="102"/>
      <c r="Q137" s="59"/>
      <c r="R137" s="102"/>
      <c r="S137" s="102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20"/>
      <c r="AD137" s="20"/>
      <c r="AE137" s="20"/>
      <c r="AF137" s="102"/>
      <c r="AG137" s="102"/>
      <c r="AH137" s="102"/>
      <c r="AI137" s="102"/>
      <c r="AJ137" s="102"/>
      <c r="AK137" s="102"/>
      <c r="AL137" s="102"/>
      <c r="AM137" s="102"/>
      <c r="AN137" s="102"/>
      <c r="AO137" s="102"/>
      <c r="AP137" s="102"/>
      <c r="AQ137" s="102"/>
    </row>
    <row r="138" spans="2:73" s="5" customFormat="1" ht="20.100000000000001" customHeight="1" x14ac:dyDescent="0.25">
      <c r="B138" s="102"/>
      <c r="C138" s="102"/>
      <c r="D138" s="102"/>
      <c r="E138" s="102"/>
      <c r="F138" s="102"/>
      <c r="G138" s="102"/>
      <c r="H138" s="102"/>
      <c r="I138" s="102"/>
      <c r="J138" s="102"/>
      <c r="K138" s="102"/>
      <c r="L138" s="102"/>
      <c r="M138" s="102"/>
      <c r="N138" s="102"/>
      <c r="O138" s="102"/>
      <c r="P138" s="102"/>
      <c r="Q138" s="59"/>
      <c r="R138" s="102"/>
      <c r="S138" s="102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20"/>
      <c r="AD138" s="20"/>
      <c r="AE138" s="20"/>
      <c r="AF138" s="102"/>
      <c r="AG138" s="102"/>
      <c r="AH138" s="102"/>
      <c r="AI138" s="102"/>
      <c r="AJ138" s="102"/>
      <c r="AK138" s="102"/>
      <c r="AL138" s="102"/>
      <c r="AM138" s="102"/>
      <c r="AN138" s="102"/>
      <c r="AO138" s="102"/>
      <c r="AP138" s="102"/>
      <c r="AQ138" s="102"/>
    </row>
    <row r="139" spans="2:73" s="5" customFormat="1" ht="20.100000000000001" customHeight="1" x14ac:dyDescent="0.25">
      <c r="B139" s="102"/>
      <c r="C139" s="102"/>
      <c r="D139" s="102"/>
      <c r="E139" s="102"/>
      <c r="F139" s="102"/>
      <c r="G139" s="102"/>
      <c r="H139" s="102"/>
      <c r="I139" s="102"/>
      <c r="J139" s="102"/>
      <c r="K139" s="102"/>
      <c r="L139" s="102"/>
      <c r="M139" s="102"/>
      <c r="N139" s="102"/>
      <c r="O139" s="102"/>
      <c r="P139" s="102"/>
      <c r="Q139" s="59"/>
      <c r="R139" s="102"/>
      <c r="S139" s="102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20"/>
      <c r="AD139" s="20"/>
      <c r="AE139" s="20"/>
      <c r="AF139" s="102"/>
      <c r="AG139" s="102"/>
      <c r="AH139" s="102"/>
      <c r="AI139" s="102"/>
      <c r="AJ139" s="102"/>
      <c r="AK139" s="102"/>
      <c r="AL139" s="102"/>
      <c r="AM139" s="102"/>
      <c r="AN139" s="102"/>
      <c r="AO139" s="102"/>
      <c r="AP139" s="102"/>
      <c r="AQ139" s="102"/>
    </row>
    <row r="140" spans="2:73" s="5" customFormat="1" ht="20.100000000000001" customHeight="1" x14ac:dyDescent="0.25">
      <c r="B140" s="102"/>
      <c r="C140" s="102"/>
      <c r="D140" s="102"/>
      <c r="E140" s="102"/>
      <c r="F140" s="102"/>
      <c r="G140" s="102"/>
      <c r="H140" s="102"/>
      <c r="I140" s="102"/>
      <c r="J140" s="102"/>
      <c r="K140" s="102"/>
      <c r="L140" s="102"/>
      <c r="M140" s="102"/>
      <c r="N140" s="102"/>
      <c r="O140" s="102"/>
      <c r="P140" s="102"/>
      <c r="Q140" s="59"/>
      <c r="R140" s="102"/>
      <c r="S140" s="102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20"/>
      <c r="AD140" s="20"/>
      <c r="AE140" s="20"/>
      <c r="AF140" s="102"/>
      <c r="AG140" s="102"/>
      <c r="AH140" s="102"/>
      <c r="AI140" s="102"/>
      <c r="AJ140" s="102"/>
      <c r="AK140" s="102"/>
      <c r="AL140" s="102"/>
      <c r="AM140" s="102"/>
      <c r="AN140" s="102"/>
      <c r="AO140" s="102"/>
      <c r="AP140" s="102"/>
      <c r="AQ140" s="102"/>
    </row>
    <row r="141" spans="2:73" s="5" customFormat="1" ht="20.100000000000001" customHeight="1" x14ac:dyDescent="0.25">
      <c r="B141" s="102"/>
      <c r="C141" s="102"/>
      <c r="D141" s="102"/>
      <c r="E141" s="102"/>
      <c r="F141" s="102"/>
      <c r="G141" s="102"/>
      <c r="H141" s="102"/>
      <c r="I141" s="102"/>
      <c r="J141" s="102"/>
      <c r="K141" s="102"/>
      <c r="L141" s="102"/>
      <c r="M141" s="102"/>
      <c r="N141" s="102"/>
      <c r="O141" s="102"/>
      <c r="P141" s="102"/>
      <c r="Q141" s="59"/>
      <c r="R141" s="102"/>
      <c r="S141" s="102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20"/>
      <c r="AD141" s="20"/>
      <c r="AE141" s="20"/>
      <c r="AF141" s="102"/>
      <c r="AG141" s="102"/>
      <c r="AH141" s="102"/>
      <c r="AI141" s="102"/>
      <c r="AJ141" s="102"/>
      <c r="AK141" s="102"/>
      <c r="AL141" s="102"/>
      <c r="AM141" s="102"/>
      <c r="AN141" s="102"/>
      <c r="AO141" s="102"/>
      <c r="AP141" s="102"/>
      <c r="AQ141" s="102"/>
    </row>
    <row r="142" spans="2:73" s="5" customFormat="1" ht="20.100000000000001" customHeight="1" x14ac:dyDescent="0.25">
      <c r="B142" s="102"/>
      <c r="C142" s="102"/>
      <c r="D142" s="102"/>
      <c r="E142" s="102"/>
      <c r="F142" s="102"/>
      <c r="G142" s="102"/>
      <c r="H142" s="102"/>
      <c r="I142" s="102"/>
      <c r="J142" s="102"/>
      <c r="K142" s="102"/>
      <c r="L142" s="102"/>
      <c r="M142" s="102"/>
      <c r="N142" s="102"/>
      <c r="O142" s="102"/>
      <c r="P142" s="102"/>
      <c r="Q142" s="59"/>
      <c r="R142" s="102"/>
      <c r="S142" s="102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20"/>
      <c r="AD142" s="20"/>
      <c r="AE142" s="20"/>
      <c r="AF142" s="102"/>
      <c r="AG142" s="102"/>
      <c r="AH142" s="102"/>
      <c r="AI142" s="102"/>
      <c r="AJ142" s="102"/>
      <c r="AK142" s="102"/>
      <c r="AL142" s="102"/>
      <c r="AM142" s="102"/>
      <c r="AN142" s="102"/>
      <c r="AO142" s="102"/>
      <c r="AP142" s="102"/>
      <c r="AQ142" s="102"/>
    </row>
    <row r="143" spans="2:73" s="5" customFormat="1" ht="20.100000000000001" customHeight="1" x14ac:dyDescent="0.25">
      <c r="B143" s="102"/>
      <c r="C143" s="102"/>
      <c r="D143" s="102"/>
      <c r="E143" s="102"/>
      <c r="F143" s="102"/>
      <c r="G143" s="102"/>
      <c r="H143" s="102"/>
      <c r="I143" s="102"/>
      <c r="J143" s="102"/>
      <c r="K143" s="102"/>
      <c r="L143" s="102"/>
      <c r="M143" s="102"/>
      <c r="N143" s="102"/>
      <c r="O143" s="102"/>
      <c r="P143" s="102"/>
      <c r="Q143" s="59"/>
      <c r="R143" s="102"/>
      <c r="S143" s="102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20"/>
      <c r="AD143" s="20"/>
      <c r="AE143" s="20"/>
      <c r="AF143" s="102"/>
      <c r="AG143" s="102"/>
      <c r="AH143" s="102"/>
      <c r="AI143" s="102"/>
      <c r="AJ143" s="102"/>
      <c r="AK143" s="102"/>
      <c r="AL143" s="102"/>
      <c r="AM143" s="102"/>
      <c r="AN143" s="102"/>
      <c r="AO143" s="102"/>
      <c r="AP143" s="102"/>
      <c r="AQ143" s="102"/>
    </row>
    <row r="144" spans="2:73" s="5" customFormat="1" ht="20.100000000000001" customHeight="1" x14ac:dyDescent="0.25">
      <c r="B144" s="102"/>
      <c r="C144" s="102"/>
      <c r="D144" s="102"/>
      <c r="E144" s="102"/>
      <c r="F144" s="102"/>
      <c r="G144" s="102"/>
      <c r="H144" s="102"/>
      <c r="I144" s="102"/>
      <c r="J144" s="102"/>
      <c r="K144" s="102"/>
      <c r="L144" s="102"/>
      <c r="M144" s="102"/>
      <c r="N144" s="102"/>
      <c r="O144" s="102"/>
      <c r="P144" s="102"/>
      <c r="Q144" s="59"/>
      <c r="R144" s="102"/>
      <c r="S144" s="102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20"/>
      <c r="AD144" s="20"/>
      <c r="AE144" s="20"/>
      <c r="AF144" s="102"/>
      <c r="AG144" s="102"/>
      <c r="AH144" s="102"/>
      <c r="AI144" s="102"/>
      <c r="AJ144" s="102"/>
      <c r="AK144" s="102"/>
      <c r="AL144" s="102"/>
      <c r="AM144" s="102"/>
      <c r="AN144" s="102"/>
      <c r="AO144" s="102"/>
      <c r="AP144" s="102"/>
      <c r="AQ144" s="102"/>
    </row>
    <row r="145" spans="2:43" s="5" customFormat="1" ht="20.100000000000001" customHeight="1" x14ac:dyDescent="0.25">
      <c r="B145" s="102"/>
      <c r="C145" s="102"/>
      <c r="D145" s="102"/>
      <c r="E145" s="102"/>
      <c r="F145" s="102"/>
      <c r="G145" s="102"/>
      <c r="H145" s="102"/>
      <c r="I145" s="102"/>
      <c r="J145" s="102"/>
      <c r="K145" s="102"/>
      <c r="L145" s="102"/>
      <c r="M145" s="102"/>
      <c r="N145" s="102"/>
      <c r="O145" s="102"/>
      <c r="P145" s="102"/>
      <c r="Q145" s="59"/>
      <c r="R145" s="102"/>
      <c r="S145" s="102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20"/>
      <c r="AD145" s="20"/>
      <c r="AE145" s="20"/>
      <c r="AF145" s="102"/>
      <c r="AG145" s="102"/>
      <c r="AH145" s="102"/>
      <c r="AI145" s="102"/>
      <c r="AJ145" s="102"/>
      <c r="AK145" s="102"/>
      <c r="AL145" s="102"/>
      <c r="AM145" s="102"/>
      <c r="AN145" s="102"/>
      <c r="AO145" s="102"/>
      <c r="AP145" s="102"/>
      <c r="AQ145" s="102"/>
    </row>
    <row r="146" spans="2:43" s="5" customFormat="1" ht="20.100000000000001" customHeight="1" x14ac:dyDescent="0.25">
      <c r="B146" s="102"/>
      <c r="C146" s="102"/>
      <c r="D146" s="102"/>
      <c r="E146" s="102"/>
      <c r="F146" s="102"/>
      <c r="G146" s="102"/>
      <c r="H146" s="102"/>
      <c r="I146" s="102"/>
      <c r="J146" s="102"/>
      <c r="K146" s="102"/>
      <c r="L146" s="102"/>
      <c r="M146" s="102"/>
      <c r="N146" s="102"/>
      <c r="O146" s="102"/>
      <c r="P146" s="102"/>
      <c r="Q146" s="59"/>
      <c r="R146" s="102"/>
      <c r="S146" s="102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20"/>
      <c r="AD146" s="20"/>
      <c r="AE146" s="20"/>
      <c r="AF146" s="102"/>
      <c r="AG146" s="102"/>
      <c r="AH146" s="102"/>
      <c r="AI146" s="102"/>
      <c r="AJ146" s="102"/>
      <c r="AK146" s="102"/>
      <c r="AL146" s="102"/>
      <c r="AM146" s="102"/>
      <c r="AN146" s="102"/>
      <c r="AO146" s="102"/>
      <c r="AP146" s="102"/>
      <c r="AQ146" s="102"/>
    </row>
    <row r="147" spans="2:43" s="5" customFormat="1" ht="20.100000000000001" customHeight="1" x14ac:dyDescent="0.25">
      <c r="B147" s="102"/>
      <c r="C147" s="102"/>
      <c r="D147" s="102"/>
      <c r="E147" s="102"/>
      <c r="F147" s="102"/>
      <c r="G147" s="102"/>
      <c r="H147" s="102"/>
      <c r="I147" s="102"/>
      <c r="J147" s="102"/>
      <c r="K147" s="102"/>
      <c r="L147" s="102"/>
      <c r="M147" s="102"/>
      <c r="N147" s="102"/>
      <c r="O147" s="102"/>
      <c r="P147" s="102"/>
      <c r="Q147" s="59"/>
      <c r="R147" s="102"/>
      <c r="S147" s="102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20"/>
      <c r="AD147" s="20"/>
      <c r="AE147" s="20"/>
      <c r="AF147" s="102"/>
      <c r="AG147" s="102"/>
      <c r="AH147" s="102"/>
      <c r="AI147" s="102"/>
      <c r="AJ147" s="102"/>
      <c r="AK147" s="102"/>
      <c r="AL147" s="102"/>
      <c r="AM147" s="102"/>
      <c r="AN147" s="102"/>
      <c r="AO147" s="102"/>
      <c r="AP147" s="102"/>
      <c r="AQ147" s="102"/>
    </row>
    <row r="148" spans="2:43" s="5" customFormat="1" ht="20.100000000000001" customHeight="1" x14ac:dyDescent="0.25">
      <c r="B148" s="102"/>
      <c r="C148" s="102"/>
      <c r="D148" s="102"/>
      <c r="E148" s="102"/>
      <c r="F148" s="102"/>
      <c r="G148" s="102"/>
      <c r="H148" s="102"/>
      <c r="I148" s="102"/>
      <c r="J148" s="102"/>
      <c r="K148" s="102"/>
      <c r="L148" s="102"/>
      <c r="M148" s="102"/>
      <c r="N148" s="102"/>
      <c r="O148" s="102"/>
      <c r="P148" s="102"/>
      <c r="Q148" s="59"/>
      <c r="R148" s="102"/>
      <c r="S148" s="102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20"/>
      <c r="AD148" s="20"/>
      <c r="AE148" s="20"/>
      <c r="AF148" s="102"/>
      <c r="AG148" s="102"/>
      <c r="AH148" s="102"/>
      <c r="AI148" s="102"/>
      <c r="AJ148" s="102"/>
      <c r="AK148" s="102"/>
      <c r="AL148" s="102"/>
      <c r="AM148" s="102"/>
      <c r="AN148" s="102"/>
      <c r="AO148" s="102"/>
      <c r="AP148" s="102"/>
      <c r="AQ148" s="102"/>
    </row>
    <row r="149" spans="2:43" s="5" customFormat="1" ht="20.100000000000001" customHeight="1" x14ac:dyDescent="0.25">
      <c r="B149" s="102"/>
      <c r="C149" s="102"/>
      <c r="D149" s="102"/>
      <c r="E149" s="102"/>
      <c r="F149" s="102"/>
      <c r="G149" s="102"/>
      <c r="H149" s="102"/>
      <c r="I149" s="102"/>
      <c r="J149" s="102"/>
      <c r="K149" s="102"/>
      <c r="L149" s="102"/>
      <c r="M149" s="102"/>
      <c r="N149" s="102"/>
      <c r="O149" s="102"/>
      <c r="P149" s="102"/>
      <c r="Q149" s="59"/>
      <c r="R149" s="102"/>
      <c r="S149" s="102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20"/>
      <c r="AD149" s="20"/>
      <c r="AE149" s="20"/>
      <c r="AF149" s="102"/>
      <c r="AG149" s="102"/>
      <c r="AH149" s="102"/>
      <c r="AI149" s="102"/>
      <c r="AJ149" s="102"/>
      <c r="AK149" s="102"/>
      <c r="AL149" s="102"/>
      <c r="AM149" s="102"/>
      <c r="AN149" s="102"/>
      <c r="AO149" s="102"/>
      <c r="AP149" s="102"/>
      <c r="AQ149" s="102"/>
    </row>
    <row r="150" spans="2:43" s="5" customFormat="1" ht="20.100000000000001" customHeight="1" x14ac:dyDescent="0.25">
      <c r="B150" s="102"/>
      <c r="C150" s="102"/>
      <c r="D150" s="102"/>
      <c r="E150" s="102"/>
      <c r="F150" s="102"/>
      <c r="G150" s="102"/>
      <c r="H150" s="102"/>
      <c r="I150" s="102"/>
      <c r="J150" s="102"/>
      <c r="K150" s="102"/>
      <c r="L150" s="102"/>
      <c r="M150" s="102"/>
      <c r="N150" s="102"/>
      <c r="O150" s="102"/>
      <c r="P150" s="102"/>
      <c r="Q150" s="59"/>
      <c r="R150" s="102"/>
      <c r="S150" s="102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20"/>
      <c r="AD150" s="20"/>
      <c r="AE150" s="20"/>
      <c r="AF150" s="102"/>
      <c r="AG150" s="102"/>
      <c r="AH150" s="102"/>
      <c r="AI150" s="102"/>
      <c r="AJ150" s="102"/>
      <c r="AK150" s="102"/>
      <c r="AL150" s="102"/>
      <c r="AM150" s="102"/>
      <c r="AN150" s="102"/>
      <c r="AO150" s="102"/>
      <c r="AP150" s="102"/>
      <c r="AQ150" s="102"/>
    </row>
    <row r="151" spans="2:43" s="5" customFormat="1" ht="20.100000000000001" customHeight="1" x14ac:dyDescent="0.25">
      <c r="B151" s="102"/>
      <c r="C151" s="102"/>
      <c r="D151" s="102"/>
      <c r="E151" s="102"/>
      <c r="F151" s="102"/>
      <c r="G151" s="102"/>
      <c r="H151" s="102"/>
      <c r="I151" s="102"/>
      <c r="J151" s="102"/>
      <c r="K151" s="102"/>
      <c r="L151" s="102"/>
      <c r="M151" s="102"/>
      <c r="N151" s="102"/>
      <c r="O151" s="102"/>
      <c r="P151" s="102"/>
      <c r="Q151" s="59"/>
      <c r="R151" s="102"/>
      <c r="S151" s="102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20"/>
      <c r="AD151" s="20"/>
      <c r="AE151" s="20"/>
      <c r="AF151" s="102"/>
      <c r="AG151" s="102"/>
      <c r="AH151" s="102"/>
      <c r="AI151" s="102"/>
      <c r="AJ151" s="102"/>
      <c r="AK151" s="102"/>
      <c r="AL151" s="102"/>
      <c r="AM151" s="102"/>
      <c r="AN151" s="102"/>
      <c r="AO151" s="102"/>
      <c r="AP151" s="102"/>
      <c r="AQ151" s="102"/>
    </row>
    <row r="152" spans="2:43" s="5" customFormat="1" ht="20.100000000000001" customHeight="1" x14ac:dyDescent="0.25">
      <c r="B152" s="102"/>
      <c r="C152" s="102"/>
      <c r="D152" s="102"/>
      <c r="E152" s="102"/>
      <c r="F152" s="102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59"/>
      <c r="R152" s="102"/>
      <c r="S152" s="102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20"/>
      <c r="AD152" s="20"/>
      <c r="AE152" s="20"/>
      <c r="AF152" s="102"/>
      <c r="AG152" s="102"/>
      <c r="AH152" s="102"/>
      <c r="AI152" s="102"/>
      <c r="AJ152" s="102"/>
      <c r="AK152" s="102"/>
      <c r="AL152" s="102"/>
      <c r="AM152" s="102"/>
      <c r="AN152" s="102"/>
      <c r="AO152" s="102"/>
      <c r="AP152" s="102"/>
      <c r="AQ152" s="102"/>
    </row>
    <row r="153" spans="2:43" s="5" customFormat="1" ht="20.100000000000001" customHeight="1" x14ac:dyDescent="0.25">
      <c r="B153" s="102"/>
      <c r="C153" s="102"/>
      <c r="D153" s="102"/>
      <c r="E153" s="102"/>
      <c r="F153" s="102"/>
      <c r="G153" s="102"/>
      <c r="H153" s="102"/>
      <c r="I153" s="102"/>
      <c r="J153" s="102"/>
      <c r="K153" s="102"/>
      <c r="L153" s="102"/>
      <c r="M153" s="102"/>
      <c r="N153" s="102"/>
      <c r="O153" s="102"/>
      <c r="P153" s="102"/>
      <c r="Q153" s="59"/>
      <c r="R153" s="102"/>
      <c r="S153" s="102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20"/>
      <c r="AD153" s="20"/>
      <c r="AE153" s="20"/>
      <c r="AF153" s="102"/>
      <c r="AG153" s="102"/>
      <c r="AH153" s="102"/>
      <c r="AI153" s="102"/>
      <c r="AJ153" s="102"/>
      <c r="AK153" s="102"/>
      <c r="AL153" s="102"/>
      <c r="AM153" s="102"/>
      <c r="AN153" s="102"/>
      <c r="AO153" s="102"/>
      <c r="AP153" s="102"/>
      <c r="AQ153" s="102"/>
    </row>
    <row r="154" spans="2:43" s="5" customFormat="1" ht="20.100000000000001" customHeight="1" x14ac:dyDescent="0.25">
      <c r="B154" s="102"/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59"/>
      <c r="R154" s="102"/>
      <c r="S154" s="102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20"/>
      <c r="AD154" s="20"/>
      <c r="AE154" s="20"/>
      <c r="AF154" s="102"/>
      <c r="AG154" s="102"/>
      <c r="AH154" s="102"/>
      <c r="AI154" s="102"/>
      <c r="AJ154" s="102"/>
      <c r="AK154" s="102"/>
      <c r="AL154" s="102"/>
      <c r="AM154" s="102"/>
      <c r="AN154" s="102"/>
      <c r="AO154" s="102"/>
      <c r="AP154" s="102"/>
      <c r="AQ154" s="102"/>
    </row>
    <row r="155" spans="2:43" s="5" customFormat="1" ht="20.100000000000001" customHeight="1" x14ac:dyDescent="0.25">
      <c r="B155" s="102"/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59"/>
      <c r="R155" s="102"/>
      <c r="S155" s="102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20"/>
      <c r="AD155" s="20"/>
      <c r="AE155" s="20"/>
      <c r="AF155" s="102"/>
      <c r="AG155" s="102"/>
      <c r="AH155" s="102"/>
      <c r="AI155" s="102"/>
      <c r="AJ155" s="102"/>
      <c r="AK155" s="102"/>
      <c r="AL155" s="102"/>
      <c r="AM155" s="102"/>
      <c r="AN155" s="102"/>
      <c r="AO155" s="102"/>
      <c r="AP155" s="102"/>
      <c r="AQ155" s="102"/>
    </row>
    <row r="156" spans="2:43" s="5" customFormat="1" ht="20.100000000000001" customHeight="1" x14ac:dyDescent="0.25">
      <c r="B156" s="102"/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59"/>
      <c r="R156" s="102"/>
      <c r="S156" s="102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20"/>
      <c r="AD156" s="20"/>
      <c r="AE156" s="20"/>
      <c r="AF156" s="102"/>
      <c r="AG156" s="102"/>
      <c r="AH156" s="102"/>
      <c r="AI156" s="102"/>
      <c r="AJ156" s="102"/>
      <c r="AK156" s="102"/>
      <c r="AL156" s="102"/>
      <c r="AM156" s="102"/>
      <c r="AN156" s="102"/>
      <c r="AO156" s="102"/>
      <c r="AP156" s="102"/>
      <c r="AQ156" s="102"/>
    </row>
    <row r="157" spans="2:43" s="5" customFormat="1" ht="20.100000000000001" customHeight="1" x14ac:dyDescent="0.25">
      <c r="B157" s="102"/>
      <c r="C157" s="102"/>
      <c r="D157" s="102"/>
      <c r="E157" s="102"/>
      <c r="F157" s="102"/>
      <c r="G157" s="102"/>
      <c r="H157" s="102"/>
      <c r="I157" s="102"/>
      <c r="J157" s="102"/>
      <c r="K157" s="102"/>
      <c r="L157" s="102"/>
      <c r="M157" s="102"/>
      <c r="N157" s="102"/>
      <c r="O157" s="102"/>
      <c r="P157" s="102"/>
      <c r="Q157" s="59"/>
      <c r="R157" s="102"/>
      <c r="S157" s="102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20"/>
      <c r="AD157" s="20"/>
      <c r="AE157" s="20"/>
      <c r="AF157" s="102"/>
      <c r="AG157" s="102"/>
      <c r="AH157" s="102"/>
      <c r="AI157" s="102"/>
      <c r="AJ157" s="102"/>
      <c r="AK157" s="102"/>
      <c r="AL157" s="102"/>
      <c r="AM157" s="102"/>
      <c r="AN157" s="102"/>
      <c r="AO157" s="102"/>
      <c r="AP157" s="102"/>
      <c r="AQ157" s="102"/>
    </row>
    <row r="158" spans="2:43" s="5" customFormat="1" ht="20.100000000000001" customHeight="1" x14ac:dyDescent="0.25">
      <c r="B158" s="102"/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59"/>
      <c r="R158" s="102"/>
      <c r="S158" s="102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20"/>
      <c r="AD158" s="20"/>
      <c r="AE158" s="20"/>
      <c r="AF158" s="102"/>
      <c r="AG158" s="102"/>
      <c r="AH158" s="102"/>
      <c r="AI158" s="102"/>
      <c r="AJ158" s="102"/>
      <c r="AK158" s="102"/>
      <c r="AL158" s="102"/>
      <c r="AM158" s="102"/>
      <c r="AN158" s="102"/>
      <c r="AO158" s="102"/>
      <c r="AP158" s="102"/>
      <c r="AQ158" s="102"/>
    </row>
    <row r="159" spans="2:43" s="5" customFormat="1" ht="20.100000000000001" customHeight="1" x14ac:dyDescent="0.25">
      <c r="B159" s="102"/>
      <c r="C159" s="102"/>
      <c r="D159" s="102"/>
      <c r="E159" s="102"/>
      <c r="F159" s="102"/>
      <c r="G159" s="102"/>
      <c r="H159" s="102"/>
      <c r="I159" s="102"/>
      <c r="J159" s="102"/>
      <c r="K159" s="102"/>
      <c r="L159" s="102"/>
      <c r="M159" s="102"/>
      <c r="N159" s="102"/>
      <c r="O159" s="102"/>
      <c r="P159" s="102"/>
      <c r="Q159" s="59"/>
      <c r="R159" s="102"/>
      <c r="S159" s="102"/>
      <c r="T159" s="102"/>
      <c r="U159" s="102"/>
      <c r="V159" s="102"/>
      <c r="W159" s="102"/>
      <c r="X159" s="102"/>
      <c r="Y159" s="102"/>
      <c r="Z159" s="102"/>
      <c r="AA159" s="102"/>
      <c r="AB159" s="102"/>
      <c r="AC159" s="20"/>
      <c r="AD159" s="20"/>
      <c r="AE159" s="20"/>
      <c r="AF159" s="102"/>
      <c r="AG159" s="102"/>
      <c r="AH159" s="102"/>
      <c r="AI159" s="102"/>
      <c r="AJ159" s="102"/>
      <c r="AK159" s="102"/>
      <c r="AL159" s="102"/>
      <c r="AM159" s="102"/>
      <c r="AN159" s="102"/>
      <c r="AO159" s="102"/>
      <c r="AP159" s="102"/>
      <c r="AQ159" s="102"/>
    </row>
    <row r="160" spans="2:43" s="5" customFormat="1" ht="20.100000000000001" customHeight="1" x14ac:dyDescent="0.25">
      <c r="B160" s="102"/>
      <c r="C160" s="102"/>
      <c r="D160" s="102"/>
      <c r="E160" s="102"/>
      <c r="F160" s="102"/>
      <c r="G160" s="102"/>
      <c r="H160" s="102"/>
      <c r="I160" s="102"/>
      <c r="J160" s="102"/>
      <c r="K160" s="102"/>
      <c r="L160" s="102"/>
      <c r="M160" s="102"/>
      <c r="N160" s="102"/>
      <c r="O160" s="102"/>
      <c r="P160" s="102"/>
      <c r="Q160" s="59"/>
      <c r="R160" s="102"/>
      <c r="S160" s="102"/>
      <c r="T160" s="102"/>
      <c r="U160" s="102"/>
      <c r="V160" s="102"/>
      <c r="W160" s="102"/>
      <c r="X160" s="102"/>
      <c r="Y160" s="102"/>
      <c r="Z160" s="102"/>
      <c r="AA160" s="102"/>
      <c r="AB160" s="102"/>
      <c r="AC160" s="20"/>
      <c r="AD160" s="20"/>
      <c r="AE160" s="20"/>
      <c r="AF160" s="102"/>
      <c r="AG160" s="102"/>
      <c r="AH160" s="102"/>
      <c r="AI160" s="102"/>
      <c r="AJ160" s="102"/>
      <c r="AK160" s="102"/>
      <c r="AL160" s="102"/>
      <c r="AM160" s="102"/>
      <c r="AN160" s="102"/>
      <c r="AO160" s="102"/>
      <c r="AP160" s="102"/>
      <c r="AQ160" s="102"/>
    </row>
    <row r="161" spans="2:43" s="5" customFormat="1" ht="20.100000000000001" customHeight="1" x14ac:dyDescent="0.25">
      <c r="B161" s="102"/>
      <c r="C161" s="102"/>
      <c r="D161" s="102"/>
      <c r="E161" s="102"/>
      <c r="F161" s="102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59"/>
      <c r="R161" s="102"/>
      <c r="S161" s="102"/>
      <c r="T161" s="102"/>
      <c r="U161" s="102"/>
      <c r="V161" s="102"/>
      <c r="W161" s="102"/>
      <c r="X161" s="102"/>
      <c r="Y161" s="102"/>
      <c r="Z161" s="102"/>
      <c r="AA161" s="102"/>
      <c r="AB161" s="102"/>
      <c r="AC161" s="20"/>
      <c r="AD161" s="20"/>
      <c r="AE161" s="20"/>
      <c r="AF161" s="102"/>
      <c r="AG161" s="102"/>
      <c r="AH161" s="102"/>
      <c r="AI161" s="102"/>
      <c r="AJ161" s="102"/>
      <c r="AK161" s="102"/>
      <c r="AL161" s="102"/>
      <c r="AM161" s="102"/>
      <c r="AN161" s="102"/>
      <c r="AO161" s="102"/>
      <c r="AP161" s="102"/>
      <c r="AQ161" s="102"/>
    </row>
    <row r="162" spans="2:43" s="5" customFormat="1" ht="20.100000000000001" customHeight="1" x14ac:dyDescent="0.25">
      <c r="B162" s="102"/>
      <c r="C162" s="102"/>
      <c r="D162" s="102"/>
      <c r="E162" s="102"/>
      <c r="F162" s="102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59"/>
      <c r="R162" s="102"/>
      <c r="S162" s="102"/>
      <c r="T162" s="102"/>
      <c r="U162" s="102"/>
      <c r="V162" s="102"/>
      <c r="W162" s="102"/>
      <c r="X162" s="102"/>
      <c r="Y162" s="102"/>
      <c r="Z162" s="102"/>
      <c r="AA162" s="102"/>
      <c r="AB162" s="102"/>
      <c r="AC162" s="20"/>
      <c r="AD162" s="20"/>
      <c r="AE162" s="20"/>
      <c r="AF162" s="102"/>
      <c r="AG162" s="102"/>
      <c r="AH162" s="102"/>
      <c r="AI162" s="102"/>
      <c r="AJ162" s="102"/>
      <c r="AK162" s="102"/>
      <c r="AL162" s="102"/>
      <c r="AM162" s="102"/>
      <c r="AN162" s="102"/>
      <c r="AO162" s="102"/>
      <c r="AP162" s="102"/>
      <c r="AQ162" s="102"/>
    </row>
    <row r="163" spans="2:43" s="5" customFormat="1" ht="20.100000000000001" customHeight="1" x14ac:dyDescent="0.25">
      <c r="B163" s="102"/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102"/>
      <c r="N163" s="102"/>
      <c r="O163" s="102"/>
      <c r="P163" s="102"/>
      <c r="Q163" s="59"/>
      <c r="R163" s="102"/>
      <c r="S163" s="102"/>
      <c r="T163" s="102"/>
      <c r="U163" s="102"/>
      <c r="V163" s="102"/>
      <c r="W163" s="102"/>
      <c r="X163" s="102"/>
      <c r="Y163" s="102"/>
      <c r="Z163" s="102"/>
      <c r="AA163" s="102"/>
      <c r="AB163" s="102"/>
      <c r="AC163" s="20"/>
      <c r="AD163" s="20"/>
      <c r="AE163" s="20"/>
      <c r="AF163" s="102"/>
      <c r="AG163" s="102"/>
      <c r="AH163" s="102"/>
      <c r="AI163" s="102"/>
      <c r="AJ163" s="102"/>
      <c r="AK163" s="102"/>
      <c r="AL163" s="102"/>
      <c r="AM163" s="102"/>
      <c r="AN163" s="102"/>
      <c r="AO163" s="102"/>
      <c r="AP163" s="102"/>
      <c r="AQ163" s="102"/>
    </row>
    <row r="164" spans="2:43" s="5" customFormat="1" ht="20.100000000000001" customHeight="1" x14ac:dyDescent="0.25">
      <c r="B164" s="102"/>
      <c r="C164" s="102"/>
      <c r="D164" s="102"/>
      <c r="E164" s="102"/>
      <c r="F164" s="102"/>
      <c r="G164" s="102"/>
      <c r="H164" s="102"/>
      <c r="I164" s="102"/>
      <c r="J164" s="102"/>
      <c r="K164" s="102"/>
      <c r="L164" s="102"/>
      <c r="M164" s="102"/>
      <c r="N164" s="102"/>
      <c r="O164" s="102"/>
      <c r="P164" s="102"/>
      <c r="Q164" s="59"/>
      <c r="R164" s="102"/>
      <c r="S164" s="102"/>
      <c r="T164" s="102"/>
      <c r="U164" s="102"/>
      <c r="V164" s="102"/>
      <c r="W164" s="102"/>
      <c r="X164" s="102"/>
      <c r="Y164" s="102"/>
      <c r="Z164" s="102"/>
      <c r="AA164" s="102"/>
      <c r="AB164" s="102"/>
      <c r="AC164" s="20"/>
      <c r="AD164" s="20"/>
      <c r="AE164" s="20"/>
      <c r="AF164" s="102"/>
      <c r="AG164" s="102"/>
      <c r="AH164" s="102"/>
      <c r="AI164" s="102"/>
      <c r="AJ164" s="102"/>
      <c r="AK164" s="102"/>
      <c r="AL164" s="102"/>
      <c r="AM164" s="102"/>
      <c r="AN164" s="102"/>
      <c r="AO164" s="102"/>
      <c r="AP164" s="102"/>
      <c r="AQ164" s="102"/>
    </row>
    <row r="165" spans="2:43" s="5" customFormat="1" ht="20.100000000000001" customHeight="1" x14ac:dyDescent="0.25">
      <c r="B165" s="102"/>
      <c r="C165" s="102"/>
      <c r="D165" s="102"/>
      <c r="E165" s="102"/>
      <c r="F165" s="102"/>
      <c r="G165" s="102"/>
      <c r="H165" s="102"/>
      <c r="I165" s="102"/>
      <c r="J165" s="102"/>
      <c r="K165" s="102"/>
      <c r="L165" s="102"/>
      <c r="M165" s="102"/>
      <c r="N165" s="102"/>
      <c r="O165" s="102"/>
      <c r="P165" s="102"/>
      <c r="Q165" s="59"/>
      <c r="R165" s="102"/>
      <c r="S165" s="102"/>
      <c r="T165" s="102"/>
      <c r="U165" s="102"/>
      <c r="V165" s="102"/>
      <c r="W165" s="102"/>
      <c r="X165" s="102"/>
      <c r="Y165" s="102"/>
      <c r="Z165" s="102"/>
      <c r="AA165" s="102"/>
      <c r="AB165" s="102"/>
      <c r="AC165" s="20"/>
      <c r="AD165" s="20"/>
      <c r="AE165" s="20"/>
      <c r="AF165" s="102"/>
      <c r="AG165" s="102"/>
      <c r="AH165" s="102"/>
      <c r="AI165" s="102"/>
      <c r="AJ165" s="102"/>
      <c r="AK165" s="102"/>
      <c r="AL165" s="102"/>
      <c r="AM165" s="102"/>
      <c r="AN165" s="102"/>
      <c r="AO165" s="102"/>
      <c r="AP165" s="102"/>
      <c r="AQ165" s="102"/>
    </row>
    <row r="166" spans="2:43" s="5" customFormat="1" ht="20.100000000000001" customHeight="1" x14ac:dyDescent="0.25">
      <c r="B166" s="102"/>
      <c r="C166" s="102"/>
      <c r="D166" s="102"/>
      <c r="E166" s="102"/>
      <c r="F166" s="102"/>
      <c r="G166" s="102"/>
      <c r="H166" s="102"/>
      <c r="I166" s="102"/>
      <c r="J166" s="102"/>
      <c r="K166" s="102"/>
      <c r="L166" s="102"/>
      <c r="M166" s="102"/>
      <c r="N166" s="102"/>
      <c r="O166" s="102"/>
      <c r="P166" s="102"/>
      <c r="Q166" s="59"/>
      <c r="R166" s="102"/>
      <c r="S166" s="102"/>
      <c r="T166" s="102"/>
      <c r="U166" s="102"/>
      <c r="V166" s="102"/>
      <c r="W166" s="102"/>
      <c r="X166" s="102"/>
      <c r="Y166" s="102"/>
      <c r="Z166" s="102"/>
      <c r="AA166" s="102"/>
      <c r="AB166" s="102"/>
      <c r="AC166" s="20"/>
      <c r="AD166" s="20"/>
      <c r="AE166" s="20"/>
      <c r="AF166" s="102"/>
      <c r="AG166" s="102"/>
      <c r="AH166" s="102"/>
      <c r="AI166" s="102"/>
      <c r="AJ166" s="102"/>
      <c r="AK166" s="102"/>
      <c r="AL166" s="102"/>
      <c r="AM166" s="102"/>
      <c r="AN166" s="102"/>
      <c r="AO166" s="102"/>
      <c r="AP166" s="102"/>
      <c r="AQ166" s="102"/>
    </row>
    <row r="167" spans="2:43" s="5" customFormat="1" ht="20.100000000000001" customHeight="1" x14ac:dyDescent="0.25">
      <c r="B167" s="102"/>
      <c r="C167" s="102"/>
      <c r="D167" s="102"/>
      <c r="E167" s="102"/>
      <c r="F167" s="102"/>
      <c r="G167" s="102"/>
      <c r="H167" s="102"/>
      <c r="I167" s="102"/>
      <c r="J167" s="102"/>
      <c r="K167" s="102"/>
      <c r="L167" s="102"/>
      <c r="M167" s="102"/>
      <c r="N167" s="102"/>
      <c r="O167" s="102"/>
      <c r="P167" s="102"/>
      <c r="Q167" s="59"/>
      <c r="R167" s="102"/>
      <c r="S167" s="102"/>
      <c r="T167" s="102"/>
      <c r="U167" s="102"/>
      <c r="V167" s="102"/>
      <c r="W167" s="102"/>
      <c r="X167" s="102"/>
      <c r="Y167" s="102"/>
      <c r="Z167" s="102"/>
      <c r="AA167" s="102"/>
      <c r="AB167" s="102"/>
      <c r="AC167" s="20"/>
      <c r="AD167" s="20"/>
      <c r="AE167" s="20"/>
      <c r="AF167" s="102"/>
      <c r="AG167" s="102"/>
      <c r="AH167" s="102"/>
      <c r="AI167" s="102"/>
      <c r="AJ167" s="102"/>
      <c r="AK167" s="102"/>
      <c r="AL167" s="102"/>
      <c r="AM167" s="102"/>
      <c r="AN167" s="102"/>
      <c r="AO167" s="102"/>
      <c r="AP167" s="102"/>
      <c r="AQ167" s="102"/>
    </row>
    <row r="168" spans="2:43" s="5" customFormat="1" ht="20.100000000000001" customHeight="1" x14ac:dyDescent="0.25">
      <c r="B168" s="102"/>
      <c r="C168" s="102"/>
      <c r="D168" s="102"/>
      <c r="E168" s="102"/>
      <c r="F168" s="102"/>
      <c r="G168" s="102"/>
      <c r="H168" s="102"/>
      <c r="I168" s="102"/>
      <c r="J168" s="102"/>
      <c r="K168" s="102"/>
      <c r="L168" s="102"/>
      <c r="M168" s="102"/>
      <c r="N168" s="102"/>
      <c r="O168" s="102"/>
      <c r="P168" s="102"/>
      <c r="Q168" s="59"/>
      <c r="R168" s="102"/>
      <c r="S168" s="102"/>
      <c r="T168" s="102"/>
      <c r="U168" s="102"/>
      <c r="V168" s="102"/>
      <c r="W168" s="102"/>
      <c r="X168" s="102"/>
      <c r="Y168" s="102"/>
      <c r="Z168" s="102"/>
      <c r="AA168" s="102"/>
      <c r="AB168" s="102"/>
      <c r="AC168" s="20"/>
      <c r="AD168" s="20"/>
      <c r="AE168" s="20"/>
      <c r="AF168" s="102"/>
      <c r="AG168" s="102"/>
      <c r="AH168" s="102"/>
      <c r="AI168" s="102"/>
      <c r="AJ168" s="102"/>
      <c r="AK168" s="102"/>
      <c r="AL168" s="102"/>
      <c r="AM168" s="102"/>
      <c r="AN168" s="102"/>
      <c r="AO168" s="102"/>
      <c r="AP168" s="102"/>
      <c r="AQ168" s="102"/>
    </row>
    <row r="169" spans="2:43" s="5" customFormat="1" ht="20.100000000000001" customHeight="1" x14ac:dyDescent="0.25">
      <c r="B169" s="102"/>
      <c r="C169" s="102"/>
      <c r="D169" s="102"/>
      <c r="E169" s="102"/>
      <c r="F169" s="102"/>
      <c r="G169" s="102"/>
      <c r="H169" s="102"/>
      <c r="I169" s="102"/>
      <c r="J169" s="102"/>
      <c r="K169" s="102"/>
      <c r="L169" s="102"/>
      <c r="M169" s="102"/>
      <c r="N169" s="102"/>
      <c r="O169" s="102"/>
      <c r="P169" s="102"/>
      <c r="Q169" s="59"/>
      <c r="R169" s="102"/>
      <c r="S169" s="102"/>
      <c r="T169" s="102"/>
      <c r="U169" s="102"/>
      <c r="V169" s="102"/>
      <c r="W169" s="102"/>
      <c r="X169" s="102"/>
      <c r="Y169" s="102"/>
      <c r="Z169" s="102"/>
      <c r="AA169" s="102"/>
      <c r="AB169" s="102"/>
      <c r="AC169" s="20"/>
      <c r="AD169" s="20"/>
      <c r="AE169" s="20"/>
      <c r="AF169" s="102"/>
      <c r="AG169" s="102"/>
    </row>
    <row r="170" spans="2:43" s="5" customFormat="1" ht="20.100000000000001" customHeight="1" x14ac:dyDescent="0.25">
      <c r="B170" s="102"/>
      <c r="C170" s="102"/>
      <c r="D170" s="102"/>
      <c r="E170" s="102"/>
      <c r="F170" s="102"/>
      <c r="G170" s="102"/>
      <c r="H170" s="102"/>
      <c r="I170" s="102"/>
      <c r="J170" s="102"/>
      <c r="K170" s="102"/>
      <c r="L170" s="102"/>
      <c r="M170" s="102"/>
      <c r="N170" s="102"/>
      <c r="O170" s="102"/>
      <c r="P170" s="102"/>
      <c r="Q170" s="59"/>
      <c r="R170" s="102"/>
      <c r="S170" s="102"/>
      <c r="T170" s="102"/>
      <c r="U170" s="102"/>
      <c r="V170" s="102"/>
      <c r="W170" s="102"/>
      <c r="X170" s="102"/>
      <c r="Y170" s="102"/>
      <c r="Z170" s="102"/>
      <c r="AA170" s="102"/>
      <c r="AB170" s="102"/>
      <c r="AC170" s="20"/>
      <c r="AD170" s="20"/>
      <c r="AE170" s="20"/>
      <c r="AF170" s="102"/>
      <c r="AG170" s="102"/>
    </row>
    <row r="171" spans="2:43" s="5" customFormat="1" ht="20.100000000000001" customHeight="1" x14ac:dyDescent="0.25">
      <c r="B171" s="102"/>
      <c r="C171" s="102"/>
      <c r="D171" s="102"/>
      <c r="E171" s="102"/>
      <c r="F171" s="102"/>
      <c r="G171" s="102"/>
      <c r="H171" s="102"/>
      <c r="I171" s="102"/>
      <c r="J171" s="102"/>
      <c r="K171" s="102"/>
      <c r="L171" s="102"/>
      <c r="M171" s="102"/>
      <c r="N171" s="102"/>
      <c r="O171" s="102"/>
      <c r="P171" s="102"/>
      <c r="Q171" s="59"/>
      <c r="R171" s="102"/>
      <c r="S171" s="102"/>
      <c r="T171" s="102"/>
      <c r="U171" s="102"/>
      <c r="V171" s="102"/>
      <c r="W171" s="102"/>
      <c r="X171" s="102"/>
      <c r="Y171" s="102"/>
      <c r="Z171" s="102"/>
      <c r="AA171" s="102"/>
      <c r="AB171" s="102"/>
      <c r="AC171" s="20"/>
      <c r="AD171" s="20"/>
      <c r="AE171" s="20"/>
      <c r="AF171" s="102"/>
      <c r="AG171" s="102"/>
    </row>
    <row r="172" spans="2:43" s="5" customFormat="1" ht="20.100000000000001" customHeight="1" x14ac:dyDescent="0.25">
      <c r="B172" s="102"/>
      <c r="C172" s="102"/>
      <c r="D172" s="102"/>
      <c r="E172" s="102"/>
      <c r="F172" s="102"/>
      <c r="G172" s="102"/>
      <c r="H172" s="102"/>
      <c r="I172" s="102"/>
      <c r="J172" s="102"/>
      <c r="K172" s="102"/>
      <c r="L172" s="102"/>
      <c r="M172" s="102"/>
      <c r="N172" s="102"/>
      <c r="O172" s="102"/>
      <c r="P172" s="102"/>
      <c r="Q172" s="59"/>
      <c r="R172" s="102"/>
      <c r="S172" s="102"/>
      <c r="T172" s="102"/>
      <c r="U172" s="102"/>
      <c r="V172" s="102"/>
      <c r="W172" s="102"/>
      <c r="X172" s="102"/>
      <c r="Y172" s="102"/>
      <c r="Z172" s="102"/>
      <c r="AA172" s="102"/>
      <c r="AB172" s="102"/>
      <c r="AC172" s="20"/>
      <c r="AD172" s="20"/>
      <c r="AE172" s="20"/>
      <c r="AF172" s="102"/>
      <c r="AG172" s="102"/>
    </row>
    <row r="173" spans="2:43" s="5" customFormat="1" ht="20.100000000000001" customHeight="1" x14ac:dyDescent="0.25">
      <c r="B173" s="102"/>
      <c r="C173" s="102"/>
      <c r="D173" s="102"/>
      <c r="E173" s="102"/>
      <c r="F173" s="102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59"/>
      <c r="R173" s="102"/>
      <c r="S173" s="102"/>
      <c r="T173" s="102"/>
      <c r="U173" s="102"/>
      <c r="V173" s="102"/>
      <c r="W173" s="102"/>
      <c r="X173" s="102"/>
      <c r="Y173" s="102"/>
      <c r="Z173" s="102"/>
      <c r="AA173" s="102"/>
      <c r="AB173" s="102"/>
      <c r="AC173" s="20"/>
      <c r="AD173" s="20"/>
      <c r="AE173" s="20"/>
      <c r="AF173" s="102"/>
      <c r="AG173" s="102"/>
    </row>
    <row r="174" spans="2:43" s="5" customFormat="1" ht="20.100000000000001" customHeight="1" x14ac:dyDescent="0.25">
      <c r="B174" s="102"/>
      <c r="C174" s="102"/>
      <c r="D174" s="102"/>
      <c r="E174" s="102"/>
      <c r="F174" s="102"/>
      <c r="G174" s="102"/>
      <c r="H174" s="102"/>
      <c r="I174" s="102"/>
      <c r="J174" s="102"/>
      <c r="K174" s="102"/>
      <c r="L174" s="102"/>
      <c r="M174" s="102"/>
      <c r="N174" s="102"/>
      <c r="O174" s="102"/>
      <c r="P174" s="102"/>
      <c r="Q174" s="59"/>
      <c r="R174" s="102"/>
      <c r="S174" s="102"/>
      <c r="T174" s="102"/>
      <c r="U174" s="102"/>
      <c r="V174" s="102"/>
      <c r="W174" s="102"/>
      <c r="X174" s="102"/>
      <c r="Y174" s="102"/>
      <c r="Z174" s="102"/>
      <c r="AA174" s="102"/>
      <c r="AB174" s="102"/>
      <c r="AC174" s="20"/>
      <c r="AD174" s="20"/>
      <c r="AE174" s="20"/>
      <c r="AF174" s="102"/>
      <c r="AG174" s="102"/>
    </row>
    <row r="175" spans="2:43" s="5" customFormat="1" ht="20.100000000000001" customHeight="1" x14ac:dyDescent="0.25">
      <c r="B175" s="102"/>
      <c r="C175" s="102"/>
      <c r="D175" s="102"/>
      <c r="E175" s="102"/>
      <c r="F175" s="102"/>
      <c r="G175" s="102"/>
      <c r="H175" s="102"/>
      <c r="I175" s="102"/>
      <c r="J175" s="102"/>
      <c r="K175" s="102"/>
      <c r="L175" s="102"/>
      <c r="M175" s="102"/>
      <c r="N175" s="102"/>
      <c r="O175" s="102"/>
      <c r="P175" s="102"/>
      <c r="Q175" s="59"/>
      <c r="R175" s="102"/>
      <c r="S175" s="102"/>
      <c r="T175" s="102"/>
      <c r="U175" s="102"/>
      <c r="V175" s="102"/>
      <c r="W175" s="102"/>
      <c r="X175" s="102"/>
      <c r="Y175" s="102"/>
      <c r="Z175" s="102"/>
      <c r="AA175" s="102"/>
      <c r="AB175" s="102"/>
      <c r="AC175" s="20"/>
      <c r="AD175" s="20"/>
      <c r="AE175" s="20"/>
      <c r="AF175" s="102"/>
      <c r="AG175" s="102"/>
    </row>
    <row r="176" spans="2:43" s="5" customFormat="1" ht="20.100000000000001" customHeight="1" x14ac:dyDescent="0.25">
      <c r="B176" s="102"/>
      <c r="C176" s="102"/>
      <c r="D176" s="102"/>
      <c r="E176" s="102"/>
      <c r="F176" s="102"/>
      <c r="G176" s="102"/>
      <c r="H176" s="102"/>
      <c r="I176" s="102"/>
      <c r="J176" s="102"/>
      <c r="K176" s="102"/>
      <c r="L176" s="102"/>
      <c r="M176" s="102"/>
      <c r="N176" s="102"/>
      <c r="O176" s="102"/>
      <c r="P176" s="102"/>
      <c r="Q176" s="59"/>
      <c r="R176" s="102"/>
      <c r="S176" s="102"/>
      <c r="T176" s="102"/>
      <c r="U176" s="102"/>
      <c r="V176" s="102"/>
      <c r="W176" s="102"/>
      <c r="X176" s="102"/>
      <c r="Y176" s="102"/>
      <c r="Z176" s="102"/>
      <c r="AA176" s="102"/>
      <c r="AB176" s="102"/>
      <c r="AC176" s="20"/>
      <c r="AD176" s="20"/>
      <c r="AE176" s="20"/>
      <c r="AF176" s="102"/>
      <c r="AG176" s="102"/>
    </row>
    <row r="177" spans="2:33" s="5" customFormat="1" ht="20.100000000000001" customHeight="1" x14ac:dyDescent="0.25">
      <c r="B177" s="102"/>
      <c r="C177" s="102"/>
      <c r="D177" s="102"/>
      <c r="E177" s="102"/>
      <c r="F177" s="102"/>
      <c r="G177" s="102"/>
      <c r="H177" s="102"/>
      <c r="I177" s="102"/>
      <c r="J177" s="102"/>
      <c r="K177" s="102"/>
      <c r="L177" s="102"/>
      <c r="M177" s="102"/>
      <c r="N177" s="102"/>
      <c r="O177" s="102"/>
      <c r="P177" s="102"/>
      <c r="Q177" s="59"/>
      <c r="R177" s="102"/>
      <c r="S177" s="102"/>
      <c r="T177" s="102"/>
      <c r="U177" s="102"/>
      <c r="V177" s="102"/>
      <c r="W177" s="102"/>
      <c r="X177" s="102"/>
      <c r="Y177" s="102"/>
      <c r="Z177" s="102"/>
      <c r="AA177" s="102"/>
      <c r="AB177" s="102"/>
      <c r="AC177" s="20"/>
      <c r="AD177" s="20"/>
      <c r="AE177" s="20"/>
      <c r="AF177" s="102"/>
      <c r="AG177" s="102"/>
    </row>
    <row r="178" spans="2:33" s="5" customFormat="1" ht="20.100000000000001" customHeight="1" x14ac:dyDescent="0.25">
      <c r="B178" s="102"/>
      <c r="C178" s="102"/>
      <c r="D178" s="102"/>
      <c r="E178" s="102"/>
      <c r="F178" s="102"/>
      <c r="G178" s="102"/>
      <c r="H178" s="102"/>
      <c r="I178" s="102"/>
      <c r="J178" s="102"/>
      <c r="K178" s="102"/>
      <c r="L178" s="102"/>
      <c r="M178" s="102"/>
      <c r="N178" s="102"/>
      <c r="O178" s="102"/>
      <c r="P178" s="102"/>
      <c r="Q178" s="59"/>
      <c r="R178" s="102"/>
      <c r="S178" s="102"/>
      <c r="T178" s="102"/>
      <c r="U178" s="102"/>
      <c r="V178" s="102"/>
      <c r="W178" s="102"/>
      <c r="X178" s="102"/>
      <c r="Y178" s="102"/>
      <c r="Z178" s="102"/>
      <c r="AA178" s="102"/>
      <c r="AB178" s="102"/>
      <c r="AC178" s="20"/>
      <c r="AD178" s="20"/>
      <c r="AE178" s="20"/>
      <c r="AF178" s="102"/>
      <c r="AG178" s="102"/>
    </row>
    <row r="179" spans="2:33" s="5" customFormat="1" ht="20.100000000000001" customHeight="1" x14ac:dyDescent="0.25">
      <c r="B179" s="102"/>
      <c r="C179" s="102"/>
      <c r="D179" s="102"/>
      <c r="E179" s="102"/>
      <c r="F179" s="102"/>
      <c r="G179" s="102"/>
      <c r="H179" s="102"/>
      <c r="I179" s="102"/>
      <c r="J179" s="102"/>
      <c r="K179" s="102"/>
      <c r="L179" s="102"/>
      <c r="M179" s="102"/>
      <c r="N179" s="102"/>
      <c r="O179" s="102"/>
      <c r="P179" s="102"/>
      <c r="Q179" s="59"/>
      <c r="R179" s="102"/>
      <c r="S179" s="102"/>
      <c r="T179" s="102"/>
      <c r="U179" s="102"/>
      <c r="V179" s="102"/>
      <c r="W179" s="102"/>
      <c r="X179" s="102"/>
      <c r="Y179" s="102"/>
      <c r="Z179" s="102"/>
      <c r="AA179" s="102"/>
      <c r="AB179" s="102"/>
      <c r="AC179" s="20"/>
      <c r="AD179" s="20"/>
      <c r="AE179" s="20"/>
      <c r="AF179" s="102"/>
      <c r="AG179" s="102"/>
    </row>
    <row r="180" spans="2:33" s="5" customFormat="1" ht="20.100000000000001" customHeight="1" x14ac:dyDescent="0.25">
      <c r="B180" s="102"/>
      <c r="C180" s="102"/>
      <c r="D180" s="102"/>
      <c r="E180" s="102"/>
      <c r="F180" s="102"/>
      <c r="G180" s="102"/>
      <c r="H180" s="102"/>
      <c r="I180" s="102"/>
      <c r="J180" s="102"/>
      <c r="K180" s="102"/>
      <c r="L180" s="102"/>
      <c r="M180" s="102"/>
      <c r="N180" s="102"/>
      <c r="O180" s="102"/>
      <c r="P180" s="102"/>
      <c r="Q180" s="59"/>
      <c r="R180" s="102"/>
      <c r="S180" s="102"/>
      <c r="T180" s="102"/>
      <c r="U180" s="102"/>
      <c r="V180" s="102"/>
      <c r="W180" s="102"/>
      <c r="X180" s="102"/>
      <c r="Y180" s="102"/>
      <c r="Z180" s="102"/>
      <c r="AA180" s="102"/>
      <c r="AB180" s="102"/>
      <c r="AC180" s="20"/>
      <c r="AD180" s="20"/>
      <c r="AE180" s="20"/>
      <c r="AF180" s="102"/>
      <c r="AG180" s="102"/>
    </row>
    <row r="181" spans="2:33" s="5" customFormat="1" ht="20.100000000000001" customHeight="1" x14ac:dyDescent="0.25">
      <c r="B181" s="102"/>
      <c r="C181" s="102"/>
      <c r="D181" s="102"/>
      <c r="E181" s="102"/>
      <c r="F181" s="102"/>
      <c r="G181" s="102"/>
      <c r="H181" s="102"/>
      <c r="I181" s="102"/>
      <c r="J181" s="102"/>
      <c r="K181" s="102"/>
      <c r="L181" s="102"/>
      <c r="M181" s="102"/>
      <c r="N181" s="102"/>
      <c r="O181" s="102"/>
      <c r="P181" s="102"/>
      <c r="Q181" s="59"/>
      <c r="R181" s="102"/>
      <c r="S181" s="102"/>
      <c r="T181" s="102"/>
      <c r="U181" s="102"/>
      <c r="V181" s="102"/>
      <c r="W181" s="102"/>
      <c r="X181" s="102"/>
      <c r="Y181" s="102"/>
      <c r="Z181" s="102"/>
      <c r="AA181" s="102"/>
      <c r="AB181" s="102"/>
      <c r="AC181" s="20"/>
      <c r="AD181" s="20"/>
      <c r="AE181" s="20"/>
      <c r="AF181" s="102"/>
      <c r="AG181" s="102"/>
    </row>
    <row r="182" spans="2:33" s="5" customFormat="1" ht="20.100000000000001" customHeight="1" x14ac:dyDescent="0.25">
      <c r="B182" s="102"/>
      <c r="C182" s="102"/>
      <c r="D182" s="102"/>
      <c r="E182" s="102"/>
      <c r="F182" s="102"/>
      <c r="G182" s="102"/>
      <c r="H182" s="102"/>
      <c r="I182" s="102"/>
      <c r="J182" s="102"/>
      <c r="K182" s="102"/>
      <c r="L182" s="102"/>
      <c r="M182" s="102"/>
      <c r="N182" s="102"/>
      <c r="O182" s="102"/>
      <c r="P182" s="102"/>
      <c r="Q182" s="59"/>
      <c r="R182" s="102"/>
      <c r="S182" s="102"/>
      <c r="T182" s="102"/>
      <c r="U182" s="102"/>
      <c r="V182" s="102"/>
      <c r="W182" s="102"/>
      <c r="X182" s="102"/>
      <c r="Y182" s="102"/>
      <c r="Z182" s="102"/>
      <c r="AA182" s="102"/>
      <c r="AB182" s="102"/>
      <c r="AC182" s="20"/>
      <c r="AD182" s="20"/>
      <c r="AE182" s="20"/>
      <c r="AF182" s="102"/>
      <c r="AG182" s="102"/>
    </row>
    <row r="183" spans="2:33" s="5" customFormat="1" ht="20.100000000000001" customHeight="1" x14ac:dyDescent="0.25">
      <c r="B183" s="102"/>
      <c r="C183" s="102"/>
      <c r="D183" s="102"/>
      <c r="E183" s="102"/>
      <c r="F183" s="102"/>
      <c r="G183" s="102"/>
      <c r="H183" s="102"/>
      <c r="I183" s="102"/>
      <c r="J183" s="102"/>
      <c r="K183" s="102"/>
      <c r="L183" s="102"/>
      <c r="M183" s="102"/>
      <c r="N183" s="102"/>
      <c r="O183" s="102"/>
      <c r="P183" s="102"/>
      <c r="Q183" s="59"/>
      <c r="R183" s="102"/>
      <c r="S183" s="102"/>
      <c r="T183" s="102"/>
      <c r="U183" s="102"/>
      <c r="V183" s="102"/>
      <c r="W183" s="102"/>
      <c r="X183" s="102"/>
      <c r="Y183" s="102"/>
      <c r="Z183" s="102"/>
      <c r="AA183" s="102"/>
      <c r="AB183" s="102"/>
      <c r="AC183" s="20"/>
      <c r="AD183" s="20"/>
      <c r="AE183" s="20"/>
      <c r="AF183" s="102"/>
      <c r="AG183" s="102"/>
    </row>
    <row r="184" spans="2:33" s="5" customFormat="1" ht="20.100000000000001" customHeight="1" x14ac:dyDescent="0.25">
      <c r="B184" s="102"/>
      <c r="C184" s="102"/>
      <c r="D184" s="102"/>
      <c r="E184" s="102"/>
      <c r="F184" s="102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59"/>
      <c r="R184" s="102"/>
      <c r="S184" s="102"/>
      <c r="T184" s="102"/>
      <c r="U184" s="102"/>
      <c r="V184" s="102"/>
      <c r="W184" s="102"/>
      <c r="X184" s="102"/>
      <c r="Y184" s="102"/>
      <c r="Z184" s="102"/>
      <c r="AA184" s="102"/>
      <c r="AB184" s="102"/>
      <c r="AC184" s="20"/>
      <c r="AD184" s="20"/>
      <c r="AE184" s="20"/>
      <c r="AF184" s="102"/>
      <c r="AG184" s="102"/>
    </row>
    <row r="185" spans="2:33" s="5" customFormat="1" ht="20.100000000000001" customHeight="1" x14ac:dyDescent="0.25">
      <c r="B185" s="102"/>
      <c r="C185" s="102"/>
      <c r="D185" s="102"/>
      <c r="E185" s="102"/>
      <c r="F185" s="102"/>
      <c r="G185" s="102"/>
      <c r="H185" s="102"/>
      <c r="I185" s="102"/>
      <c r="J185" s="102"/>
      <c r="K185" s="102"/>
      <c r="L185" s="102"/>
      <c r="M185" s="102"/>
      <c r="N185" s="102"/>
      <c r="O185" s="102"/>
      <c r="P185" s="102"/>
      <c r="Q185" s="59"/>
      <c r="R185" s="102"/>
      <c r="S185" s="102"/>
      <c r="T185" s="102"/>
      <c r="U185" s="102"/>
      <c r="V185" s="102"/>
      <c r="W185" s="102"/>
      <c r="X185" s="102"/>
      <c r="Y185" s="102"/>
      <c r="Z185" s="102"/>
      <c r="AA185" s="102"/>
      <c r="AB185" s="102"/>
      <c r="AC185" s="20"/>
      <c r="AD185" s="20"/>
      <c r="AE185" s="20"/>
      <c r="AF185" s="102"/>
      <c r="AG185" s="102"/>
    </row>
    <row r="186" spans="2:33" s="5" customFormat="1" ht="20.100000000000001" customHeight="1" x14ac:dyDescent="0.25">
      <c r="B186" s="102"/>
      <c r="C186" s="102"/>
      <c r="D186" s="102"/>
      <c r="E186" s="102"/>
      <c r="F186" s="102"/>
      <c r="G186" s="102"/>
      <c r="H186" s="102"/>
      <c r="I186" s="102"/>
      <c r="J186" s="102"/>
      <c r="K186" s="102"/>
      <c r="L186" s="102"/>
      <c r="M186" s="102"/>
      <c r="N186" s="102"/>
      <c r="O186" s="102"/>
      <c r="Q186" s="6"/>
      <c r="W186" s="102"/>
      <c r="X186" s="102"/>
      <c r="Y186" s="102"/>
      <c r="Z186" s="102"/>
      <c r="AA186" s="102"/>
      <c r="AB186" s="102"/>
      <c r="AC186" s="20"/>
      <c r="AD186" s="20"/>
      <c r="AE186" s="20"/>
      <c r="AF186" s="102"/>
      <c r="AG186" s="102"/>
    </row>
    <row r="187" spans="2:33" s="5" customFormat="1" ht="20.100000000000001" customHeight="1" x14ac:dyDescent="0.25">
      <c r="B187" s="102"/>
      <c r="C187" s="102"/>
      <c r="D187" s="102"/>
      <c r="E187" s="102"/>
      <c r="F187" s="102"/>
      <c r="G187" s="102"/>
      <c r="H187" s="102"/>
      <c r="I187" s="102"/>
      <c r="J187" s="102"/>
      <c r="K187" s="102"/>
      <c r="L187" s="102"/>
      <c r="M187" s="102"/>
      <c r="N187" s="102"/>
      <c r="O187" s="102"/>
      <c r="Q187" s="6"/>
      <c r="W187" s="102"/>
      <c r="X187" s="102"/>
      <c r="Y187" s="102"/>
      <c r="Z187" s="102"/>
      <c r="AA187" s="102"/>
      <c r="AB187" s="102"/>
      <c r="AC187" s="20"/>
      <c r="AD187" s="20"/>
      <c r="AE187" s="20"/>
      <c r="AF187" s="102"/>
      <c r="AG187" s="102"/>
    </row>
    <row r="188" spans="2:33" s="5" customFormat="1" ht="20.100000000000001" customHeight="1" x14ac:dyDescent="0.25">
      <c r="B188" s="102"/>
      <c r="C188" s="102"/>
      <c r="D188" s="102"/>
      <c r="E188" s="102"/>
      <c r="F188" s="102"/>
      <c r="G188" s="102"/>
      <c r="H188" s="102"/>
      <c r="I188" s="102"/>
      <c r="J188" s="102"/>
      <c r="K188" s="102"/>
      <c r="L188" s="102"/>
      <c r="M188" s="102"/>
      <c r="N188" s="102"/>
      <c r="O188" s="102"/>
      <c r="Q188" s="6"/>
      <c r="W188" s="102"/>
      <c r="X188" s="102"/>
      <c r="Y188" s="102"/>
      <c r="AC188" s="20"/>
      <c r="AD188" s="20"/>
      <c r="AE188" s="20"/>
      <c r="AF188" s="102"/>
      <c r="AG188" s="102"/>
    </row>
    <row r="189" spans="2:33" s="5" customFormat="1" ht="20.100000000000001" customHeight="1" x14ac:dyDescent="0.25">
      <c r="I189" s="102"/>
      <c r="J189" s="102"/>
      <c r="K189" s="102"/>
      <c r="L189" s="102"/>
      <c r="N189" s="102"/>
      <c r="O189" s="102"/>
      <c r="Q189" s="6"/>
      <c r="W189" s="102"/>
      <c r="X189" s="102"/>
      <c r="Y189" s="102"/>
      <c r="AC189" s="20"/>
      <c r="AD189" s="20"/>
      <c r="AE189" s="20"/>
      <c r="AF189" s="102"/>
      <c r="AG189" s="102"/>
    </row>
    <row r="190" spans="2:33" s="5" customFormat="1" ht="20.100000000000001" customHeight="1" x14ac:dyDescent="0.25">
      <c r="I190" s="102"/>
      <c r="J190" s="102"/>
      <c r="K190" s="102"/>
      <c r="L190" s="102"/>
      <c r="N190" s="102"/>
      <c r="O190" s="102"/>
      <c r="Q190" s="6"/>
      <c r="AC190" s="20"/>
      <c r="AD190" s="20"/>
      <c r="AE190" s="20"/>
      <c r="AF190" s="102"/>
      <c r="AG190" s="102"/>
    </row>
    <row r="191" spans="2:33" s="5" customFormat="1" ht="20.100000000000001" customHeight="1" x14ac:dyDescent="0.25">
      <c r="I191" s="102"/>
      <c r="O191" s="102"/>
      <c r="Q191" s="6"/>
      <c r="AC191" s="20"/>
      <c r="AD191" s="20"/>
      <c r="AE191" s="20"/>
      <c r="AF191" s="102"/>
      <c r="AG191" s="102"/>
    </row>
    <row r="192" spans="2:33" s="5" customFormat="1" ht="20.100000000000001" customHeight="1" x14ac:dyDescent="0.25">
      <c r="I192" s="102"/>
      <c r="O192" s="102"/>
      <c r="Q192" s="6"/>
      <c r="AC192" s="20"/>
      <c r="AD192" s="20"/>
      <c r="AE192" s="20"/>
      <c r="AF192" s="102"/>
      <c r="AG192" s="102"/>
    </row>
    <row r="193" spans="9:33" s="5" customFormat="1" ht="20.100000000000001" customHeight="1" x14ac:dyDescent="0.25">
      <c r="I193" s="102"/>
      <c r="O193" s="102"/>
      <c r="Q193" s="6"/>
      <c r="AC193" s="20"/>
      <c r="AD193" s="20"/>
      <c r="AE193" s="20"/>
      <c r="AF193" s="102"/>
      <c r="AG193" s="102"/>
    </row>
    <row r="194" spans="9:33" s="5" customFormat="1" ht="20.100000000000001" customHeight="1" x14ac:dyDescent="0.25">
      <c r="I194" s="102"/>
      <c r="O194" s="102"/>
      <c r="Q194" s="6"/>
      <c r="AC194" s="20"/>
      <c r="AD194" s="20"/>
      <c r="AE194" s="20"/>
      <c r="AF194" s="102"/>
      <c r="AG194" s="102"/>
    </row>
    <row r="195" spans="9:33" s="5" customFormat="1" ht="20.100000000000001" customHeight="1" x14ac:dyDescent="0.25">
      <c r="O195" s="102"/>
      <c r="Q195" s="6"/>
      <c r="AC195" s="7"/>
      <c r="AD195" s="7"/>
      <c r="AE195" s="20"/>
      <c r="AF195" s="102"/>
      <c r="AG195" s="102"/>
    </row>
    <row r="196" spans="9:33" s="5" customFormat="1" ht="20.100000000000001" customHeight="1" x14ac:dyDescent="0.25">
      <c r="O196" s="102"/>
      <c r="Q196" s="6"/>
      <c r="AC196" s="7"/>
      <c r="AD196" s="7"/>
      <c r="AE196" s="7"/>
      <c r="AF196" s="102"/>
      <c r="AG196" s="102"/>
    </row>
    <row r="197" spans="9:33" s="5" customFormat="1" ht="20.100000000000001" customHeight="1" x14ac:dyDescent="0.25">
      <c r="Q197" s="6"/>
      <c r="AC197" s="7"/>
      <c r="AD197" s="7"/>
      <c r="AE197" s="7"/>
    </row>
    <row r="198" spans="9:33" s="5" customFormat="1" ht="20.100000000000001" customHeight="1" x14ac:dyDescent="0.25">
      <c r="Q198" s="6"/>
      <c r="AC198" s="7"/>
      <c r="AD198" s="7"/>
      <c r="AE198" s="7"/>
    </row>
    <row r="199" spans="9:33" s="5" customFormat="1" ht="20.100000000000001" customHeight="1" x14ac:dyDescent="0.25">
      <c r="Q199" s="6"/>
      <c r="AC199" s="7"/>
      <c r="AD199" s="7"/>
      <c r="AE199" s="7"/>
    </row>
    <row r="200" spans="9:33" s="5" customFormat="1" ht="20.100000000000001" customHeight="1" x14ac:dyDescent="0.25">
      <c r="Q200" s="6"/>
      <c r="AC200" s="7"/>
      <c r="AD200" s="7"/>
      <c r="AE200" s="7"/>
    </row>
    <row r="201" spans="9:33" s="5" customFormat="1" ht="20.100000000000001" customHeight="1" x14ac:dyDescent="0.25">
      <c r="Q201" s="6"/>
      <c r="AC201" s="7"/>
      <c r="AD201" s="7"/>
      <c r="AE201" s="7"/>
    </row>
    <row r="202" spans="9:33" s="5" customFormat="1" ht="20.100000000000001" customHeight="1" x14ac:dyDescent="0.25">
      <c r="Q202" s="6"/>
      <c r="AC202" s="7"/>
      <c r="AD202" s="7"/>
      <c r="AE202" s="7"/>
    </row>
    <row r="203" spans="9:33" s="5" customFormat="1" ht="20.100000000000001" customHeight="1" x14ac:dyDescent="0.25">
      <c r="Q203" s="6"/>
      <c r="AC203" s="7"/>
      <c r="AD203" s="7"/>
      <c r="AE203" s="7"/>
    </row>
    <row r="204" spans="9:33" s="5" customFormat="1" ht="20.100000000000001" customHeight="1" x14ac:dyDescent="0.25">
      <c r="Q204" s="6"/>
      <c r="AC204" s="7"/>
      <c r="AD204" s="7"/>
      <c r="AE204" s="7"/>
    </row>
    <row r="205" spans="9:33" s="5" customFormat="1" ht="20.100000000000001" customHeight="1" x14ac:dyDescent="0.25">
      <c r="Q205" s="6"/>
      <c r="AC205" s="7"/>
      <c r="AD205" s="7"/>
      <c r="AE205" s="7"/>
    </row>
    <row r="206" spans="9:33" s="5" customFormat="1" ht="20.100000000000001" customHeight="1" x14ac:dyDescent="0.25">
      <c r="Q206" s="6"/>
      <c r="AC206" s="7"/>
      <c r="AD206" s="7"/>
      <c r="AE206" s="7"/>
    </row>
    <row r="207" spans="9:33" s="5" customFormat="1" ht="20.100000000000001" customHeight="1" x14ac:dyDescent="0.25">
      <c r="Q207" s="6"/>
      <c r="AC207" s="7"/>
      <c r="AD207" s="7"/>
      <c r="AE207" s="7"/>
    </row>
    <row r="208" spans="9:33" s="5" customFormat="1" ht="20.100000000000001" customHeight="1" x14ac:dyDescent="0.25">
      <c r="Q208" s="6"/>
      <c r="AC208" s="7"/>
      <c r="AD208" s="7"/>
      <c r="AE208" s="7"/>
    </row>
    <row r="209" spans="17:31" s="5" customFormat="1" ht="20.100000000000001" customHeight="1" x14ac:dyDescent="0.25">
      <c r="Q209" s="6"/>
      <c r="AC209" s="7"/>
      <c r="AD209" s="7"/>
      <c r="AE209" s="7"/>
    </row>
    <row r="210" spans="17:31" s="5" customFormat="1" ht="20.100000000000001" customHeight="1" x14ac:dyDescent="0.25">
      <c r="Q210" s="6"/>
      <c r="AC210" s="7"/>
      <c r="AD210" s="7"/>
      <c r="AE210" s="7"/>
    </row>
    <row r="211" spans="17:31" s="5" customFormat="1" ht="20.100000000000001" customHeight="1" x14ac:dyDescent="0.25">
      <c r="Q211" s="6"/>
      <c r="AC211" s="7"/>
      <c r="AD211" s="7"/>
      <c r="AE211" s="7"/>
    </row>
    <row r="212" spans="17:31" s="5" customFormat="1" ht="20.100000000000001" customHeight="1" x14ac:dyDescent="0.25">
      <c r="Q212" s="6"/>
      <c r="AC212" s="7"/>
      <c r="AD212" s="7"/>
      <c r="AE212" s="7"/>
    </row>
    <row r="213" spans="17:31" s="5" customFormat="1" ht="20.100000000000001" customHeight="1" x14ac:dyDescent="0.25">
      <c r="Q213" s="6"/>
      <c r="AC213" s="7"/>
      <c r="AD213" s="7"/>
      <c r="AE213" s="7"/>
    </row>
    <row r="214" spans="17:31" s="5" customFormat="1" ht="20.100000000000001" customHeight="1" x14ac:dyDescent="0.25">
      <c r="Q214" s="6"/>
      <c r="AC214" s="7"/>
      <c r="AD214" s="7"/>
      <c r="AE214" s="7"/>
    </row>
    <row r="215" spans="17:31" s="5" customFormat="1" ht="20.100000000000001" customHeight="1" x14ac:dyDescent="0.25">
      <c r="Q215" s="6"/>
      <c r="AC215" s="7"/>
      <c r="AD215" s="7"/>
      <c r="AE215" s="7"/>
    </row>
    <row r="216" spans="17:31" s="5" customFormat="1" ht="20.100000000000001" customHeight="1" x14ac:dyDescent="0.25">
      <c r="Q216" s="6"/>
      <c r="AC216" s="7"/>
      <c r="AD216" s="7"/>
      <c r="AE216" s="7"/>
    </row>
    <row r="217" spans="17:31" s="5" customFormat="1" ht="20.100000000000001" customHeight="1" x14ac:dyDescent="0.25">
      <c r="Q217" s="6"/>
      <c r="AC217" s="7"/>
      <c r="AD217" s="7"/>
      <c r="AE217" s="7"/>
    </row>
    <row r="218" spans="17:31" s="5" customFormat="1" ht="20.100000000000001" customHeight="1" x14ac:dyDescent="0.25">
      <c r="Q218" s="6"/>
      <c r="AC218" s="7"/>
      <c r="AD218" s="7"/>
      <c r="AE218" s="7"/>
    </row>
    <row r="219" spans="17:31" s="5" customFormat="1" ht="20.100000000000001" customHeight="1" x14ac:dyDescent="0.25">
      <c r="Q219" s="6"/>
      <c r="AC219" s="7"/>
      <c r="AD219" s="7"/>
      <c r="AE219" s="7"/>
    </row>
    <row r="220" spans="17:31" s="5" customFormat="1" ht="20.100000000000001" customHeight="1" x14ac:dyDescent="0.25">
      <c r="Q220" s="6"/>
      <c r="AC220" s="7"/>
      <c r="AD220" s="7"/>
      <c r="AE220" s="7"/>
    </row>
    <row r="221" spans="17:31" s="5" customFormat="1" ht="20.100000000000001" customHeight="1" x14ac:dyDescent="0.25">
      <c r="Q221" s="6"/>
      <c r="AC221" s="7"/>
      <c r="AD221" s="7"/>
      <c r="AE221" s="7"/>
    </row>
    <row r="222" spans="17:31" s="5" customFormat="1" ht="20.100000000000001" customHeight="1" x14ac:dyDescent="0.25">
      <c r="Q222" s="6"/>
      <c r="AC222" s="7"/>
      <c r="AD222" s="7"/>
      <c r="AE222" s="7"/>
    </row>
    <row r="223" spans="17:31" s="5" customFormat="1" ht="20.100000000000001" customHeight="1" x14ac:dyDescent="0.25">
      <c r="Q223" s="6"/>
      <c r="AC223" s="7"/>
      <c r="AD223" s="7"/>
      <c r="AE223" s="7"/>
    </row>
    <row r="224" spans="17:31" s="5" customFormat="1" ht="20.100000000000001" customHeight="1" x14ac:dyDescent="0.25">
      <c r="Q224" s="6"/>
      <c r="AC224" s="7"/>
      <c r="AD224" s="7"/>
      <c r="AE224" s="7"/>
    </row>
    <row r="225" spans="17:31" s="5" customFormat="1" ht="20.100000000000001" customHeight="1" x14ac:dyDescent="0.25">
      <c r="Q225" s="6"/>
      <c r="AC225" s="7"/>
      <c r="AD225" s="7"/>
      <c r="AE225" s="7"/>
    </row>
    <row r="226" spans="17:31" s="5" customFormat="1" ht="20.100000000000001" customHeight="1" x14ac:dyDescent="0.25">
      <c r="Q226" s="6"/>
      <c r="AC226" s="7"/>
      <c r="AD226" s="7"/>
      <c r="AE226" s="7"/>
    </row>
    <row r="227" spans="17:31" s="5" customFormat="1" ht="20.100000000000001" customHeight="1" x14ac:dyDescent="0.25">
      <c r="Q227" s="6"/>
      <c r="AC227" s="7"/>
      <c r="AD227" s="7"/>
      <c r="AE227" s="7"/>
    </row>
    <row r="228" spans="17:31" s="5" customFormat="1" ht="20.100000000000001" customHeight="1" x14ac:dyDescent="0.25">
      <c r="Q228" s="6"/>
      <c r="AC228" s="7"/>
      <c r="AD228" s="7"/>
      <c r="AE228" s="7"/>
    </row>
    <row r="229" spans="17:31" s="5" customFormat="1" ht="20.100000000000001" customHeight="1" x14ac:dyDescent="0.25">
      <c r="Q229" s="6"/>
      <c r="AC229" s="7"/>
      <c r="AD229" s="7"/>
      <c r="AE229" s="7"/>
    </row>
    <row r="230" spans="17:31" s="5" customFormat="1" ht="20.100000000000001" customHeight="1" x14ac:dyDescent="0.25">
      <c r="Q230" s="6"/>
      <c r="AC230" s="7"/>
      <c r="AD230" s="7"/>
      <c r="AE230" s="7"/>
    </row>
    <row r="231" spans="17:31" s="5" customFormat="1" ht="20.100000000000001" customHeight="1" x14ac:dyDescent="0.25">
      <c r="Q231" s="6"/>
      <c r="AC231" s="7"/>
      <c r="AD231" s="7"/>
      <c r="AE231" s="7"/>
    </row>
    <row r="232" spans="17:31" s="5" customFormat="1" ht="20.100000000000001" customHeight="1" x14ac:dyDescent="0.25">
      <c r="Q232" s="6"/>
      <c r="AC232" s="7"/>
      <c r="AD232" s="7"/>
      <c r="AE232" s="7"/>
    </row>
    <row r="233" spans="17:31" s="5" customFormat="1" ht="20.100000000000001" customHeight="1" x14ac:dyDescent="0.25">
      <c r="Q233" s="6"/>
      <c r="AC233" s="7"/>
      <c r="AD233" s="7"/>
      <c r="AE233" s="7"/>
    </row>
    <row r="234" spans="17:31" s="5" customFormat="1" ht="20.100000000000001" customHeight="1" x14ac:dyDescent="0.25">
      <c r="Q234" s="6"/>
      <c r="AC234" s="7"/>
      <c r="AD234" s="7"/>
      <c r="AE234" s="7"/>
    </row>
    <row r="235" spans="17:31" s="5" customFormat="1" ht="20.100000000000001" customHeight="1" x14ac:dyDescent="0.25">
      <c r="Q235" s="6"/>
      <c r="AC235" s="7"/>
      <c r="AD235" s="7"/>
      <c r="AE235" s="7"/>
    </row>
    <row r="236" spans="17:31" s="5" customFormat="1" ht="20.100000000000001" customHeight="1" x14ac:dyDescent="0.25">
      <c r="Q236" s="6"/>
      <c r="AC236" s="7"/>
      <c r="AD236" s="7"/>
      <c r="AE236" s="7"/>
    </row>
    <row r="237" spans="17:31" s="5" customFormat="1" ht="20.100000000000001" customHeight="1" x14ac:dyDescent="0.25">
      <c r="Q237" s="6"/>
      <c r="AC237" s="7"/>
      <c r="AD237" s="7"/>
      <c r="AE237" s="7"/>
    </row>
    <row r="238" spans="17:31" s="5" customFormat="1" ht="20.100000000000001" customHeight="1" x14ac:dyDescent="0.25">
      <c r="Q238" s="6"/>
      <c r="AC238" s="7"/>
      <c r="AD238" s="7"/>
      <c r="AE238" s="7"/>
    </row>
    <row r="239" spans="17:31" s="5" customFormat="1" ht="20.100000000000001" customHeight="1" x14ac:dyDescent="0.25">
      <c r="Q239" s="6"/>
      <c r="AC239" s="7"/>
      <c r="AD239" s="7"/>
      <c r="AE239" s="7"/>
    </row>
    <row r="240" spans="17:31" s="5" customFormat="1" ht="20.100000000000001" customHeight="1" x14ac:dyDescent="0.25">
      <c r="Q240" s="6"/>
      <c r="AC240" s="7"/>
      <c r="AD240" s="7"/>
      <c r="AE240" s="7"/>
    </row>
    <row r="241" spans="17:31" s="5" customFormat="1" ht="20.100000000000001" customHeight="1" x14ac:dyDescent="0.25">
      <c r="Q241" s="6"/>
      <c r="AC241" s="7"/>
      <c r="AD241" s="7"/>
      <c r="AE241" s="7"/>
    </row>
    <row r="242" spans="17:31" s="5" customFormat="1" ht="20.100000000000001" customHeight="1" x14ac:dyDescent="0.25">
      <c r="Q242" s="6"/>
      <c r="AC242" s="7"/>
      <c r="AD242" s="7"/>
      <c r="AE242" s="7"/>
    </row>
    <row r="243" spans="17:31" s="5" customFormat="1" ht="20.100000000000001" customHeight="1" x14ac:dyDescent="0.25">
      <c r="Q243" s="6"/>
      <c r="AC243" s="7"/>
      <c r="AD243" s="7"/>
      <c r="AE243" s="7"/>
    </row>
    <row r="244" spans="17:31" s="5" customFormat="1" ht="20.100000000000001" customHeight="1" x14ac:dyDescent="0.25">
      <c r="Q244" s="6"/>
      <c r="AC244" s="7"/>
      <c r="AD244" s="7"/>
      <c r="AE244" s="7"/>
    </row>
    <row r="245" spans="17:31" s="5" customFormat="1" ht="20.100000000000001" customHeight="1" x14ac:dyDescent="0.25">
      <c r="Q245" s="6"/>
      <c r="AC245" s="7"/>
      <c r="AD245" s="7"/>
      <c r="AE245" s="7"/>
    </row>
    <row r="246" spans="17:31" s="5" customFormat="1" ht="20.100000000000001" customHeight="1" x14ac:dyDescent="0.25">
      <c r="Q246" s="6"/>
      <c r="AC246" s="7"/>
      <c r="AD246" s="7"/>
      <c r="AE246" s="7"/>
    </row>
    <row r="247" spans="17:31" s="5" customFormat="1" ht="20.100000000000001" customHeight="1" x14ac:dyDescent="0.25">
      <c r="Q247" s="6"/>
      <c r="AC247" s="7"/>
      <c r="AD247" s="7"/>
      <c r="AE247" s="7"/>
    </row>
    <row r="248" spans="17:31" s="5" customFormat="1" ht="20.100000000000001" customHeight="1" x14ac:dyDescent="0.25">
      <c r="Q248" s="6"/>
      <c r="AC248" s="7"/>
      <c r="AD248" s="7"/>
      <c r="AE248" s="7"/>
    </row>
    <row r="249" spans="17:31" s="5" customFormat="1" ht="20.100000000000001" customHeight="1" x14ac:dyDescent="0.25">
      <c r="Q249" s="6"/>
      <c r="AC249" s="7"/>
      <c r="AD249" s="7"/>
      <c r="AE249" s="7"/>
    </row>
    <row r="250" spans="17:31" s="5" customFormat="1" ht="20.100000000000001" customHeight="1" x14ac:dyDescent="0.25">
      <c r="Q250" s="6"/>
      <c r="AC250" s="7"/>
      <c r="AD250" s="7"/>
      <c r="AE250" s="7"/>
    </row>
    <row r="251" spans="17:31" s="5" customFormat="1" ht="20.100000000000001" customHeight="1" x14ac:dyDescent="0.25">
      <c r="Q251" s="6"/>
      <c r="AC251" s="7"/>
      <c r="AD251" s="7"/>
      <c r="AE251" s="7"/>
    </row>
    <row r="252" spans="17:31" s="5" customFormat="1" ht="20.100000000000001" customHeight="1" x14ac:dyDescent="0.25">
      <c r="Q252" s="6"/>
      <c r="AC252" s="7"/>
      <c r="AD252" s="7"/>
      <c r="AE252" s="7"/>
    </row>
    <row r="253" spans="17:31" s="5" customFormat="1" ht="20.100000000000001" customHeight="1" x14ac:dyDescent="0.25">
      <c r="Q253" s="6"/>
      <c r="AC253" s="7"/>
      <c r="AD253" s="7"/>
      <c r="AE253" s="7"/>
    </row>
    <row r="254" spans="17:31" s="5" customFormat="1" ht="20.100000000000001" customHeight="1" x14ac:dyDescent="0.25">
      <c r="Q254" s="6"/>
      <c r="AC254" s="7"/>
      <c r="AD254" s="7"/>
      <c r="AE254" s="7"/>
    </row>
    <row r="255" spans="17:31" s="5" customFormat="1" ht="20.100000000000001" customHeight="1" x14ac:dyDescent="0.25">
      <c r="Q255" s="6"/>
      <c r="AC255" s="7"/>
      <c r="AD255" s="7"/>
      <c r="AE255" s="7"/>
    </row>
    <row r="256" spans="17:31" s="5" customFormat="1" ht="20.100000000000001" customHeight="1" x14ac:dyDescent="0.25">
      <c r="Q256" s="6"/>
      <c r="AC256" s="7"/>
      <c r="AD256" s="7"/>
      <c r="AE256" s="7"/>
    </row>
    <row r="257" spans="17:31" s="5" customFormat="1" ht="20.100000000000001" customHeight="1" x14ac:dyDescent="0.25">
      <c r="Q257" s="6"/>
      <c r="AC257" s="7"/>
      <c r="AD257" s="7"/>
      <c r="AE257" s="7"/>
    </row>
    <row r="258" spans="17:31" s="5" customFormat="1" ht="20.100000000000001" customHeight="1" x14ac:dyDescent="0.25">
      <c r="Q258" s="6"/>
      <c r="AC258" s="7"/>
      <c r="AD258" s="7"/>
      <c r="AE258" s="7"/>
    </row>
    <row r="259" spans="17:31" s="5" customFormat="1" ht="20.100000000000001" customHeight="1" x14ac:dyDescent="0.25">
      <c r="Q259" s="6"/>
      <c r="AC259" s="7"/>
      <c r="AD259" s="7"/>
      <c r="AE259" s="7"/>
    </row>
    <row r="260" spans="17:31" s="5" customFormat="1" ht="20.100000000000001" customHeight="1" x14ac:dyDescent="0.25">
      <c r="Q260" s="6"/>
      <c r="AC260" s="7"/>
      <c r="AD260" s="7"/>
      <c r="AE260" s="7"/>
    </row>
    <row r="261" spans="17:31" s="5" customFormat="1" ht="20.100000000000001" customHeight="1" x14ac:dyDescent="0.25">
      <c r="Q261" s="6"/>
      <c r="AC261" s="7"/>
      <c r="AD261" s="7"/>
      <c r="AE261" s="7"/>
    </row>
    <row r="262" spans="17:31" s="5" customFormat="1" ht="20.100000000000001" customHeight="1" x14ac:dyDescent="0.25">
      <c r="Q262" s="6"/>
      <c r="AC262" s="7"/>
      <c r="AD262" s="7"/>
      <c r="AE262" s="7"/>
    </row>
    <row r="263" spans="17:31" s="5" customFormat="1" ht="20.100000000000001" customHeight="1" x14ac:dyDescent="0.25">
      <c r="Q263" s="6"/>
      <c r="AC263" s="7"/>
      <c r="AD263" s="7"/>
      <c r="AE263" s="7"/>
    </row>
    <row r="264" spans="17:31" s="5" customFormat="1" ht="20.100000000000001" customHeight="1" x14ac:dyDescent="0.25">
      <c r="Q264" s="6"/>
      <c r="AC264" s="7"/>
      <c r="AD264" s="7"/>
      <c r="AE264" s="7"/>
    </row>
    <row r="265" spans="17:31" s="5" customFormat="1" ht="20.100000000000001" customHeight="1" x14ac:dyDescent="0.25">
      <c r="Q265" s="6"/>
      <c r="AC265" s="7"/>
      <c r="AD265" s="7"/>
      <c r="AE265" s="7"/>
    </row>
    <row r="266" spans="17:31" s="5" customFormat="1" ht="20.100000000000001" customHeight="1" x14ac:dyDescent="0.25">
      <c r="Q266" s="6"/>
      <c r="AC266" s="7"/>
      <c r="AD266" s="7"/>
      <c r="AE266" s="7"/>
    </row>
    <row r="267" spans="17:31" s="5" customFormat="1" ht="20.100000000000001" customHeight="1" x14ac:dyDescent="0.25">
      <c r="Q267" s="6"/>
      <c r="AC267" s="7"/>
      <c r="AD267" s="7"/>
      <c r="AE267" s="7"/>
    </row>
    <row r="268" spans="17:31" s="5" customFormat="1" ht="20.100000000000001" customHeight="1" x14ac:dyDescent="0.25">
      <c r="Q268" s="6"/>
      <c r="AC268" s="7"/>
      <c r="AD268" s="7"/>
      <c r="AE268" s="7"/>
    </row>
    <row r="269" spans="17:31" s="5" customFormat="1" ht="20.100000000000001" customHeight="1" x14ac:dyDescent="0.25">
      <c r="Q269" s="6"/>
      <c r="AC269" s="7"/>
      <c r="AD269" s="7"/>
      <c r="AE269" s="7"/>
    </row>
    <row r="270" spans="17:31" s="5" customFormat="1" ht="20.100000000000001" customHeight="1" x14ac:dyDescent="0.25">
      <c r="Q270" s="6"/>
      <c r="AC270" s="7"/>
      <c r="AD270" s="7"/>
      <c r="AE270" s="7"/>
    </row>
    <row r="271" spans="17:31" s="5" customFormat="1" ht="20.100000000000001" customHeight="1" x14ac:dyDescent="0.25">
      <c r="Q271" s="6"/>
      <c r="AC271" s="7"/>
      <c r="AD271" s="7"/>
      <c r="AE271" s="7"/>
    </row>
    <row r="272" spans="17:31" s="5" customFormat="1" ht="20.100000000000001" customHeight="1" x14ac:dyDescent="0.25">
      <c r="Q272" s="6"/>
      <c r="AC272" s="7"/>
      <c r="AD272" s="7"/>
      <c r="AE272" s="7"/>
    </row>
    <row r="273" spans="17:31" s="5" customFormat="1" ht="20.100000000000001" customHeight="1" x14ac:dyDescent="0.25">
      <c r="Q273" s="6"/>
      <c r="AC273" s="7"/>
      <c r="AD273" s="7"/>
      <c r="AE273" s="7"/>
    </row>
    <row r="274" spans="17:31" s="5" customFormat="1" ht="20.100000000000001" customHeight="1" x14ac:dyDescent="0.25">
      <c r="Q274" s="6"/>
      <c r="AC274" s="7"/>
      <c r="AD274" s="7"/>
      <c r="AE274" s="7"/>
    </row>
    <row r="275" spans="17:31" s="5" customFormat="1" ht="20.100000000000001" customHeight="1" x14ac:dyDescent="0.25">
      <c r="Q275" s="6"/>
      <c r="AC275" s="7"/>
      <c r="AD275" s="7"/>
      <c r="AE275" s="7"/>
    </row>
    <row r="276" spans="17:31" s="5" customFormat="1" ht="20.100000000000001" customHeight="1" x14ac:dyDescent="0.25">
      <c r="Q276" s="6"/>
      <c r="AC276" s="7"/>
      <c r="AD276" s="7"/>
      <c r="AE276" s="7"/>
    </row>
    <row r="277" spans="17:31" s="5" customFormat="1" ht="20.100000000000001" customHeight="1" x14ac:dyDescent="0.25">
      <c r="Q277" s="6"/>
      <c r="AC277" s="7"/>
      <c r="AD277" s="7"/>
      <c r="AE277" s="7"/>
    </row>
    <row r="278" spans="17:31" s="5" customFormat="1" ht="20.100000000000001" customHeight="1" x14ac:dyDescent="0.25">
      <c r="Q278" s="6"/>
      <c r="AC278" s="7"/>
      <c r="AD278" s="7"/>
      <c r="AE278" s="7"/>
    </row>
    <row r="279" spans="17:31" s="5" customFormat="1" ht="20.100000000000001" customHeight="1" x14ac:dyDescent="0.25">
      <c r="Q279" s="6"/>
      <c r="AC279" s="7"/>
      <c r="AD279" s="7"/>
      <c r="AE279" s="7"/>
    </row>
    <row r="280" spans="17:31" s="5" customFormat="1" ht="20.100000000000001" customHeight="1" x14ac:dyDescent="0.25">
      <c r="Q280" s="6"/>
      <c r="AC280" s="7"/>
      <c r="AD280" s="7"/>
      <c r="AE280" s="7"/>
    </row>
    <row r="281" spans="17:31" s="5" customFormat="1" ht="20.100000000000001" customHeight="1" x14ac:dyDescent="0.25">
      <c r="Q281" s="6"/>
      <c r="AC281" s="7"/>
      <c r="AD281" s="7"/>
      <c r="AE281" s="7"/>
    </row>
    <row r="282" spans="17:31" s="5" customFormat="1" ht="20.100000000000001" customHeight="1" x14ac:dyDescent="0.25">
      <c r="Q282" s="6"/>
      <c r="AC282" s="7"/>
      <c r="AD282" s="7"/>
      <c r="AE282" s="7"/>
    </row>
    <row r="283" spans="17:31" s="5" customFormat="1" ht="20.100000000000001" customHeight="1" x14ac:dyDescent="0.25">
      <c r="Q283" s="6"/>
      <c r="AC283" s="7"/>
      <c r="AD283" s="7"/>
      <c r="AE283" s="7"/>
    </row>
    <row r="284" spans="17:31" s="5" customFormat="1" ht="20.100000000000001" customHeight="1" x14ac:dyDescent="0.25">
      <c r="Q284" s="6"/>
      <c r="AC284" s="7"/>
      <c r="AD284" s="7"/>
      <c r="AE284" s="7"/>
    </row>
    <row r="285" spans="17:31" s="5" customFormat="1" ht="20.100000000000001" customHeight="1" x14ac:dyDescent="0.25">
      <c r="Q285" s="6"/>
      <c r="AC285" s="7"/>
      <c r="AD285" s="7"/>
      <c r="AE285" s="7"/>
    </row>
    <row r="286" spans="17:31" s="5" customFormat="1" ht="20.100000000000001" customHeight="1" x14ac:dyDescent="0.25">
      <c r="Q286" s="6"/>
      <c r="AC286" s="7"/>
      <c r="AD286" s="7"/>
      <c r="AE286" s="7"/>
    </row>
    <row r="287" spans="17:31" s="5" customFormat="1" ht="20.100000000000001" customHeight="1" x14ac:dyDescent="0.25">
      <c r="Q287" s="6"/>
      <c r="AC287" s="7"/>
      <c r="AD287" s="7"/>
      <c r="AE287" s="7"/>
    </row>
    <row r="288" spans="17:31" s="5" customFormat="1" ht="20.100000000000001" customHeight="1" x14ac:dyDescent="0.25">
      <c r="Q288" s="6"/>
      <c r="AC288" s="7"/>
      <c r="AD288" s="7"/>
      <c r="AE288" s="7"/>
    </row>
    <row r="289" spans="17:31" s="5" customFormat="1" ht="20.100000000000001" customHeight="1" x14ac:dyDescent="0.25">
      <c r="Q289" s="6"/>
      <c r="AC289" s="7"/>
      <c r="AD289" s="7"/>
      <c r="AE289" s="7"/>
    </row>
    <row r="290" spans="17:31" s="5" customFormat="1" ht="20.100000000000001" customHeight="1" x14ac:dyDescent="0.25">
      <c r="Q290" s="6"/>
      <c r="AC290" s="7"/>
      <c r="AD290" s="7"/>
      <c r="AE290" s="7"/>
    </row>
    <row r="291" spans="17:31" s="5" customFormat="1" ht="20.100000000000001" customHeight="1" x14ac:dyDescent="0.25">
      <c r="Q291" s="6"/>
      <c r="AC291" s="7"/>
      <c r="AD291" s="7"/>
      <c r="AE291" s="7"/>
    </row>
    <row r="292" spans="17:31" s="5" customFormat="1" ht="20.100000000000001" customHeight="1" x14ac:dyDescent="0.25">
      <c r="Q292" s="6"/>
      <c r="AC292" s="7"/>
      <c r="AD292" s="7"/>
      <c r="AE292" s="7"/>
    </row>
    <row r="293" spans="17:31" s="5" customFormat="1" ht="20.100000000000001" customHeight="1" x14ac:dyDescent="0.25">
      <c r="Q293" s="6"/>
      <c r="AC293" s="7"/>
      <c r="AD293" s="7"/>
      <c r="AE293" s="7"/>
    </row>
    <row r="294" spans="17:31" s="5" customFormat="1" ht="20.100000000000001" customHeight="1" x14ac:dyDescent="0.25">
      <c r="Q294" s="6"/>
      <c r="AC294" s="7"/>
      <c r="AD294" s="7"/>
      <c r="AE294" s="7"/>
    </row>
    <row r="295" spans="17:31" s="5" customFormat="1" ht="20.100000000000001" customHeight="1" x14ac:dyDescent="0.25">
      <c r="Q295" s="6"/>
      <c r="AC295" s="7"/>
      <c r="AD295" s="7"/>
      <c r="AE295" s="7"/>
    </row>
    <row r="296" spans="17:31" s="5" customFormat="1" ht="20.100000000000001" customHeight="1" x14ac:dyDescent="0.25">
      <c r="Q296" s="6"/>
      <c r="AC296" s="7"/>
      <c r="AD296" s="7"/>
      <c r="AE296" s="7"/>
    </row>
    <row r="297" spans="17:31" s="5" customFormat="1" ht="20.100000000000001" customHeight="1" x14ac:dyDescent="0.25">
      <c r="Q297" s="6"/>
      <c r="AC297" s="7"/>
      <c r="AD297" s="7"/>
      <c r="AE297" s="7"/>
    </row>
    <row r="298" spans="17:31" s="5" customFormat="1" ht="20.100000000000001" customHeight="1" x14ac:dyDescent="0.25">
      <c r="Q298" s="6"/>
      <c r="AC298" s="7"/>
      <c r="AD298" s="7"/>
      <c r="AE298" s="7"/>
    </row>
    <row r="299" spans="17:31" s="5" customFormat="1" ht="20.100000000000001" customHeight="1" x14ac:dyDescent="0.25">
      <c r="Q299" s="6"/>
      <c r="AC299" s="7"/>
      <c r="AD299" s="7"/>
      <c r="AE299" s="7"/>
    </row>
    <row r="300" spans="17:31" s="5" customFormat="1" ht="20.100000000000001" customHeight="1" x14ac:dyDescent="0.25">
      <c r="Q300" s="6"/>
      <c r="AC300" s="7"/>
      <c r="AD300" s="7"/>
      <c r="AE300" s="7"/>
    </row>
    <row r="301" spans="17:31" s="5" customFormat="1" ht="20.100000000000001" customHeight="1" x14ac:dyDescent="0.25">
      <c r="Q301" s="6"/>
      <c r="AC301" s="7"/>
      <c r="AD301" s="7"/>
      <c r="AE301" s="7"/>
    </row>
    <row r="302" spans="17:31" s="5" customFormat="1" ht="20.100000000000001" customHeight="1" x14ac:dyDescent="0.25">
      <c r="Q302" s="6"/>
      <c r="AC302" s="7"/>
      <c r="AD302" s="7"/>
      <c r="AE302" s="7"/>
    </row>
    <row r="303" spans="17:31" s="5" customFormat="1" ht="20.100000000000001" customHeight="1" x14ac:dyDescent="0.25">
      <c r="Q303" s="6"/>
      <c r="AC303" s="7"/>
      <c r="AD303" s="7"/>
      <c r="AE303" s="7"/>
    </row>
    <row r="304" spans="17:31" s="5" customFormat="1" ht="20.100000000000001" customHeight="1" x14ac:dyDescent="0.25">
      <c r="Q304" s="6"/>
      <c r="AC304" s="7"/>
      <c r="AD304" s="7"/>
      <c r="AE304" s="7"/>
    </row>
    <row r="305" spans="17:31" s="5" customFormat="1" ht="20.100000000000001" customHeight="1" x14ac:dyDescent="0.25">
      <c r="Q305" s="6"/>
      <c r="AC305" s="7"/>
      <c r="AD305" s="7"/>
      <c r="AE305" s="7"/>
    </row>
    <row r="306" spans="17:31" s="5" customFormat="1" ht="20.100000000000001" customHeight="1" x14ac:dyDescent="0.25">
      <c r="Q306" s="6"/>
      <c r="AC306" s="7"/>
      <c r="AD306" s="7"/>
      <c r="AE306" s="7"/>
    </row>
    <row r="307" spans="17:31" s="5" customFormat="1" ht="20.100000000000001" customHeight="1" x14ac:dyDescent="0.25">
      <c r="Q307" s="6"/>
      <c r="AC307" s="7"/>
      <c r="AD307" s="7"/>
      <c r="AE307" s="7"/>
    </row>
    <row r="308" spans="17:31" s="5" customFormat="1" ht="20.100000000000001" customHeight="1" x14ac:dyDescent="0.25">
      <c r="Q308" s="6"/>
      <c r="AC308" s="7"/>
      <c r="AD308" s="7"/>
      <c r="AE308" s="7"/>
    </row>
    <row r="309" spans="17:31" s="5" customFormat="1" ht="20.100000000000001" customHeight="1" x14ac:dyDescent="0.25">
      <c r="Q309" s="6"/>
      <c r="AC309" s="7"/>
      <c r="AD309" s="7"/>
      <c r="AE309" s="7"/>
    </row>
    <row r="310" spans="17:31" s="5" customFormat="1" ht="20.100000000000001" customHeight="1" x14ac:dyDescent="0.25">
      <c r="Q310" s="6"/>
      <c r="AC310" s="7"/>
      <c r="AD310" s="7"/>
      <c r="AE310" s="7"/>
    </row>
    <row r="311" spans="17:31" s="5" customFormat="1" ht="20.100000000000001" customHeight="1" x14ac:dyDescent="0.25">
      <c r="Q311" s="6"/>
      <c r="AC311" s="7"/>
      <c r="AD311" s="7"/>
      <c r="AE311" s="7"/>
    </row>
    <row r="312" spans="17:31" s="5" customFormat="1" ht="20.100000000000001" customHeight="1" x14ac:dyDescent="0.25">
      <c r="Q312" s="6"/>
      <c r="AC312" s="7"/>
      <c r="AD312" s="7"/>
      <c r="AE312" s="7"/>
    </row>
    <row r="313" spans="17:31" s="5" customFormat="1" ht="20.100000000000001" customHeight="1" x14ac:dyDescent="0.25">
      <c r="Q313" s="6"/>
      <c r="AC313" s="7"/>
      <c r="AD313" s="7"/>
      <c r="AE313" s="7"/>
    </row>
    <row r="314" spans="17:31" s="5" customFormat="1" ht="20.100000000000001" customHeight="1" x14ac:dyDescent="0.25">
      <c r="Q314" s="6"/>
      <c r="AC314" s="7"/>
      <c r="AD314" s="7"/>
      <c r="AE314" s="7"/>
    </row>
    <row r="315" spans="17:31" s="5" customFormat="1" ht="20.100000000000001" customHeight="1" x14ac:dyDescent="0.25">
      <c r="Q315" s="6"/>
      <c r="AC315" s="7"/>
      <c r="AD315" s="7"/>
      <c r="AE315" s="7"/>
    </row>
    <row r="316" spans="17:31" s="5" customFormat="1" ht="20.100000000000001" customHeight="1" x14ac:dyDescent="0.25">
      <c r="Q316" s="6"/>
      <c r="AC316" s="7"/>
      <c r="AD316" s="7"/>
      <c r="AE316" s="7"/>
    </row>
    <row r="317" spans="17:31" s="5" customFormat="1" ht="20.100000000000001" customHeight="1" x14ac:dyDescent="0.25">
      <c r="Q317" s="6"/>
      <c r="AC317" s="7"/>
      <c r="AD317" s="7"/>
      <c r="AE317" s="7"/>
    </row>
    <row r="318" spans="17:31" s="5" customFormat="1" ht="20.100000000000001" customHeight="1" x14ac:dyDescent="0.25">
      <c r="Q318" s="6"/>
      <c r="AC318" s="7"/>
      <c r="AD318" s="7"/>
      <c r="AE318" s="7"/>
    </row>
    <row r="319" spans="17:31" s="5" customFormat="1" ht="20.100000000000001" customHeight="1" x14ac:dyDescent="0.25">
      <c r="Q319" s="6"/>
      <c r="AC319" s="7"/>
      <c r="AD319" s="7"/>
      <c r="AE319" s="7"/>
    </row>
    <row r="320" spans="17:31" s="5" customFormat="1" ht="20.100000000000001" customHeight="1" x14ac:dyDescent="0.25">
      <c r="Q320" s="6"/>
      <c r="AC320" s="7"/>
      <c r="AD320" s="7"/>
      <c r="AE320" s="7"/>
    </row>
    <row r="321" spans="17:45" s="5" customFormat="1" ht="20.100000000000001" customHeight="1" x14ac:dyDescent="0.25">
      <c r="Q321" s="6"/>
      <c r="AC321" s="7"/>
      <c r="AD321" s="7"/>
      <c r="AE321" s="7"/>
    </row>
    <row r="322" spans="17:45" s="5" customFormat="1" ht="20.100000000000001" customHeight="1" x14ac:dyDescent="0.25">
      <c r="Q322" s="6"/>
      <c r="AC322" s="7"/>
      <c r="AD322" s="7"/>
      <c r="AE322" s="7"/>
    </row>
    <row r="323" spans="17:45" s="5" customFormat="1" ht="20.100000000000001" customHeight="1" x14ac:dyDescent="0.25">
      <c r="Q323" s="6"/>
      <c r="AC323" s="7"/>
      <c r="AD323" s="7"/>
      <c r="AE323" s="7"/>
    </row>
    <row r="324" spans="17:45" s="5" customFormat="1" ht="20.100000000000001" customHeight="1" x14ac:dyDescent="0.25">
      <c r="Q324" s="6"/>
      <c r="AC324" s="7"/>
      <c r="AD324" s="7"/>
      <c r="AE324" s="7"/>
    </row>
    <row r="325" spans="17:45" s="5" customFormat="1" ht="20.100000000000001" customHeight="1" x14ac:dyDescent="0.25">
      <c r="Q325" s="6"/>
      <c r="AC325" s="7"/>
      <c r="AD325" s="7"/>
      <c r="AE325" s="7"/>
    </row>
    <row r="326" spans="17:45" s="5" customFormat="1" ht="20.100000000000001" customHeight="1" x14ac:dyDescent="0.25">
      <c r="Q326" s="6"/>
      <c r="AC326" s="7"/>
      <c r="AD326" s="7"/>
      <c r="AE326" s="7"/>
    </row>
    <row r="327" spans="17:45" s="5" customFormat="1" ht="20.100000000000001" customHeight="1" x14ac:dyDescent="0.25">
      <c r="Q327" s="6"/>
      <c r="AC327" s="7"/>
      <c r="AD327" s="7"/>
      <c r="AE327" s="7"/>
    </row>
    <row r="328" spans="17:45" s="5" customFormat="1" ht="20.100000000000001" customHeight="1" x14ac:dyDescent="0.25">
      <c r="Q328" s="6"/>
      <c r="AC328" s="7"/>
      <c r="AD328" s="7"/>
      <c r="AE328" s="7"/>
    </row>
    <row r="329" spans="17:45" s="5" customFormat="1" ht="20.100000000000001" customHeight="1" x14ac:dyDescent="0.25">
      <c r="Q329" s="6"/>
      <c r="AC329" s="7"/>
      <c r="AD329" s="7"/>
      <c r="AE329" s="7"/>
    </row>
    <row r="330" spans="17:45" s="5" customFormat="1" ht="20.100000000000001" customHeight="1" x14ac:dyDescent="0.25">
      <c r="Q330" s="6"/>
      <c r="AC330" s="7"/>
      <c r="AD330" s="7"/>
      <c r="AE330" s="7"/>
    </row>
    <row r="331" spans="17:45" s="5" customFormat="1" ht="20.100000000000001" customHeight="1" x14ac:dyDescent="0.25">
      <c r="Q331" s="6"/>
      <c r="AC331" s="7"/>
      <c r="AD331" s="7"/>
      <c r="AE331" s="7"/>
    </row>
    <row r="332" spans="17:45" ht="20.100000000000001" customHeight="1" x14ac:dyDescent="0.25"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</row>
    <row r="333" spans="17:45" ht="20.100000000000001" customHeight="1" x14ac:dyDescent="0.25"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</row>
    <row r="334" spans="17:45" ht="20.100000000000001" customHeight="1" x14ac:dyDescent="0.25"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</row>
    <row r="335" spans="17:45" ht="20.100000000000001" customHeight="1" x14ac:dyDescent="0.25"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</row>
    <row r="336" spans="17:45" ht="20.100000000000001" customHeight="1" x14ac:dyDescent="0.25"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</row>
    <row r="337" spans="33:45" ht="20.100000000000001" customHeight="1" x14ac:dyDescent="0.25"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</row>
    <row r="338" spans="33:45" ht="20.100000000000001" customHeight="1" x14ac:dyDescent="0.25"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</row>
    <row r="339" spans="33:45" ht="20.100000000000001" customHeight="1" x14ac:dyDescent="0.25"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</row>
    <row r="340" spans="33:45" ht="20.100000000000001" customHeight="1" x14ac:dyDescent="0.25"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</row>
    <row r="341" spans="33:45" ht="20.100000000000001" customHeight="1" x14ac:dyDescent="0.25"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</row>
    <row r="342" spans="33:45" ht="20.100000000000001" customHeight="1" x14ac:dyDescent="0.25"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</row>
    <row r="343" spans="33:45" ht="20.100000000000001" customHeight="1" x14ac:dyDescent="0.25"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</row>
    <row r="344" spans="33:45" ht="20.100000000000001" customHeight="1" x14ac:dyDescent="0.25"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</row>
    <row r="345" spans="33:45" ht="20.100000000000001" customHeight="1" x14ac:dyDescent="0.25"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</row>
    <row r="346" spans="33:45" ht="20.100000000000001" customHeight="1" x14ac:dyDescent="0.25"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</row>
    <row r="347" spans="33:45" ht="20.100000000000001" customHeight="1" x14ac:dyDescent="0.25"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</row>
    <row r="348" spans="33:45" ht="20.100000000000001" customHeight="1" x14ac:dyDescent="0.25"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</row>
    <row r="349" spans="33:45" ht="20.100000000000001" customHeight="1" x14ac:dyDescent="0.25"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</row>
    <row r="350" spans="33:45" ht="20.100000000000001" customHeight="1" x14ac:dyDescent="0.25"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</row>
    <row r="351" spans="33:45" ht="20.100000000000001" customHeight="1" x14ac:dyDescent="0.25"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</row>
    <row r="352" spans="33:45" ht="20.100000000000001" customHeight="1" x14ac:dyDescent="0.25"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</row>
    <row r="353" spans="33:45" ht="20.100000000000001" customHeight="1" x14ac:dyDescent="0.25"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</row>
    <row r="354" spans="33:45" ht="20.100000000000001" customHeight="1" x14ac:dyDescent="0.25"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</row>
    <row r="355" spans="33:45" ht="20.100000000000001" customHeight="1" x14ac:dyDescent="0.25"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</row>
    <row r="356" spans="33:45" ht="20.100000000000001" customHeight="1" x14ac:dyDescent="0.25"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</row>
    <row r="357" spans="33:45" ht="20.100000000000001" customHeight="1" x14ac:dyDescent="0.25"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</row>
    <row r="358" spans="33:45" ht="20.100000000000001" customHeight="1" x14ac:dyDescent="0.25"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</row>
    <row r="359" spans="33:45" ht="20.100000000000001" customHeight="1" x14ac:dyDescent="0.25"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</row>
    <row r="360" spans="33:45" ht="20.100000000000001" customHeight="1" x14ac:dyDescent="0.25"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</row>
    <row r="361" spans="33:45" ht="20.100000000000001" customHeight="1" x14ac:dyDescent="0.25"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</row>
    <row r="362" spans="33:45" ht="20.100000000000001" customHeight="1" x14ac:dyDescent="0.25"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</row>
    <row r="363" spans="33:45" ht="20.100000000000001" customHeight="1" x14ac:dyDescent="0.25"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</row>
    <row r="364" spans="33:45" ht="20.100000000000001" customHeight="1" x14ac:dyDescent="0.25"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</row>
    <row r="365" spans="33:45" ht="20.100000000000001" customHeight="1" x14ac:dyDescent="0.25"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</row>
    <row r="366" spans="33:45" ht="20.100000000000001" customHeight="1" x14ac:dyDescent="0.25"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</row>
    <row r="367" spans="33:45" ht="20.100000000000001" customHeight="1" x14ac:dyDescent="0.25"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</row>
    <row r="368" spans="33:45" ht="20.100000000000001" customHeight="1" x14ac:dyDescent="0.25"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</row>
    <row r="369" spans="33:45" ht="20.100000000000001" customHeight="1" x14ac:dyDescent="0.25"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</row>
    <row r="370" spans="33:45" ht="20.100000000000001" customHeight="1" x14ac:dyDescent="0.25"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</row>
    <row r="371" spans="33:45" ht="20.100000000000001" customHeight="1" x14ac:dyDescent="0.25"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</row>
    <row r="372" spans="33:45" ht="20.100000000000001" customHeight="1" x14ac:dyDescent="0.25"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</row>
    <row r="373" spans="33:45" ht="20.100000000000001" customHeight="1" x14ac:dyDescent="0.25"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</row>
    <row r="374" spans="33:45" ht="20.100000000000001" customHeight="1" x14ac:dyDescent="0.25"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</row>
    <row r="375" spans="33:45" ht="20.100000000000001" customHeight="1" x14ac:dyDescent="0.25"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</row>
    <row r="376" spans="33:45" ht="20.100000000000001" customHeight="1" x14ac:dyDescent="0.25"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</row>
    <row r="377" spans="33:45" ht="20.100000000000001" customHeight="1" x14ac:dyDescent="0.25"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</row>
    <row r="378" spans="33:45" ht="20.100000000000001" customHeight="1" x14ac:dyDescent="0.25"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</row>
    <row r="379" spans="33:45" ht="20.100000000000001" customHeight="1" x14ac:dyDescent="0.25"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</row>
    <row r="380" spans="33:45" ht="20.100000000000001" customHeight="1" x14ac:dyDescent="0.25"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</row>
    <row r="381" spans="33:45" ht="20.100000000000001" customHeight="1" x14ac:dyDescent="0.25"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</row>
    <row r="382" spans="33:45" ht="20.100000000000001" customHeight="1" x14ac:dyDescent="0.25"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</row>
    <row r="383" spans="33:45" ht="20.100000000000001" customHeight="1" x14ac:dyDescent="0.25"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</row>
    <row r="384" spans="33:45" ht="20.100000000000001" customHeight="1" x14ac:dyDescent="0.25"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</row>
    <row r="385" spans="33:45" ht="20.100000000000001" customHeight="1" x14ac:dyDescent="0.25"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</row>
    <row r="386" spans="33:45" ht="20.100000000000001" customHeight="1" x14ac:dyDescent="0.25"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</row>
    <row r="387" spans="33:45" ht="20.100000000000001" customHeight="1" x14ac:dyDescent="0.25"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</row>
    <row r="388" spans="33:45" ht="20.100000000000001" customHeight="1" x14ac:dyDescent="0.25"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</row>
    <row r="389" spans="33:45" ht="20.100000000000001" customHeight="1" x14ac:dyDescent="0.25"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</row>
    <row r="390" spans="33:45" ht="20.100000000000001" customHeight="1" x14ac:dyDescent="0.25"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</row>
    <row r="391" spans="33:45" ht="20.100000000000001" customHeight="1" x14ac:dyDescent="0.25"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</row>
    <row r="392" spans="33:45" ht="20.100000000000001" customHeight="1" x14ac:dyDescent="0.25"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</row>
    <row r="393" spans="33:45" ht="20.100000000000001" customHeight="1" x14ac:dyDescent="0.25"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</row>
    <row r="394" spans="33:45" ht="20.100000000000001" customHeight="1" x14ac:dyDescent="0.25"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</row>
    <row r="395" spans="33:45" ht="20.100000000000001" customHeight="1" x14ac:dyDescent="0.25"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</row>
    <row r="396" spans="33:45" ht="20.100000000000001" customHeight="1" x14ac:dyDescent="0.25"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</row>
    <row r="397" spans="33:45" ht="20.100000000000001" customHeight="1" x14ac:dyDescent="0.25"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</row>
    <row r="398" spans="33:45" ht="20.100000000000001" customHeight="1" x14ac:dyDescent="0.25"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</row>
    <row r="399" spans="33:45" ht="20.100000000000001" customHeight="1" x14ac:dyDescent="0.25"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</row>
    <row r="400" spans="33:45" ht="20.100000000000001" customHeight="1" x14ac:dyDescent="0.25"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</row>
    <row r="401" spans="33:45" ht="20.100000000000001" customHeight="1" x14ac:dyDescent="0.25"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</row>
    <row r="402" spans="33:45" ht="20.100000000000001" customHeight="1" x14ac:dyDescent="0.25"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</row>
    <row r="403" spans="33:45" ht="20.100000000000001" customHeight="1" x14ac:dyDescent="0.25"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</row>
    <row r="404" spans="33:45" ht="20.100000000000001" customHeight="1" x14ac:dyDescent="0.25"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</row>
    <row r="405" spans="33:45" ht="20.100000000000001" customHeight="1" x14ac:dyDescent="0.25"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</row>
    <row r="406" spans="33:45" ht="20.100000000000001" customHeight="1" x14ac:dyDescent="0.25"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</row>
    <row r="407" spans="33:45" ht="20.100000000000001" customHeight="1" x14ac:dyDescent="0.25"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</row>
    <row r="408" spans="33:45" ht="20.100000000000001" customHeight="1" x14ac:dyDescent="0.25"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</row>
    <row r="409" spans="33:45" ht="20.100000000000001" customHeight="1" x14ac:dyDescent="0.25"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</row>
    <row r="410" spans="33:45" ht="20.100000000000001" customHeight="1" x14ac:dyDescent="0.25"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</row>
    <row r="411" spans="33:45" ht="20.100000000000001" customHeight="1" x14ac:dyDescent="0.25"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</row>
    <row r="412" spans="33:45" ht="20.100000000000001" customHeight="1" x14ac:dyDescent="0.25"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</row>
    <row r="413" spans="33:45" ht="20.100000000000001" customHeight="1" x14ac:dyDescent="0.25"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</row>
    <row r="414" spans="33:45" ht="20.100000000000001" customHeight="1" x14ac:dyDescent="0.25"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</row>
    <row r="415" spans="33:45" ht="20.100000000000001" customHeight="1" x14ac:dyDescent="0.25"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</row>
    <row r="416" spans="33:45" ht="20.100000000000001" customHeight="1" x14ac:dyDescent="0.25"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</row>
    <row r="417" spans="33:45" ht="20.100000000000001" customHeight="1" x14ac:dyDescent="0.25"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</row>
    <row r="418" spans="33:45" ht="20.100000000000001" customHeight="1" x14ac:dyDescent="0.25"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</row>
    <row r="419" spans="33:45" ht="20.100000000000001" customHeight="1" x14ac:dyDescent="0.25"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</row>
    <row r="420" spans="33:45" ht="20.100000000000001" customHeight="1" x14ac:dyDescent="0.25"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</row>
    <row r="421" spans="33:45" ht="20.100000000000001" customHeight="1" x14ac:dyDescent="0.25"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</row>
    <row r="422" spans="33:45" ht="20.100000000000001" customHeight="1" x14ac:dyDescent="0.25"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</row>
    <row r="423" spans="33:45" ht="20.100000000000001" customHeight="1" x14ac:dyDescent="0.25"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</row>
    <row r="424" spans="33:45" ht="20.100000000000001" customHeight="1" x14ac:dyDescent="0.25"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</row>
    <row r="425" spans="33:45" ht="20.100000000000001" customHeight="1" x14ac:dyDescent="0.25"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</row>
    <row r="426" spans="33:45" ht="20.100000000000001" customHeight="1" x14ac:dyDescent="0.25"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</row>
    <row r="427" spans="33:45" ht="20.100000000000001" customHeight="1" x14ac:dyDescent="0.25"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</row>
    <row r="428" spans="33:45" ht="20.100000000000001" customHeight="1" x14ac:dyDescent="0.25"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</row>
    <row r="429" spans="33:45" ht="20.100000000000001" customHeight="1" x14ac:dyDescent="0.25"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</row>
    <row r="430" spans="33:45" ht="20.100000000000001" customHeight="1" x14ac:dyDescent="0.25"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</row>
    <row r="431" spans="33:45" ht="20.100000000000001" customHeight="1" x14ac:dyDescent="0.25"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</row>
    <row r="432" spans="33:45" ht="20.100000000000001" customHeight="1" x14ac:dyDescent="0.25"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</row>
    <row r="433" spans="33:45" ht="20.100000000000001" customHeight="1" x14ac:dyDescent="0.25"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</row>
    <row r="434" spans="33:45" ht="20.100000000000001" customHeight="1" x14ac:dyDescent="0.25"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</row>
    <row r="435" spans="33:45" ht="20.100000000000001" customHeight="1" x14ac:dyDescent="0.25"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</row>
    <row r="436" spans="33:45" ht="20.100000000000001" customHeight="1" x14ac:dyDescent="0.25"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</row>
    <row r="437" spans="33:45" ht="20.100000000000001" customHeight="1" x14ac:dyDescent="0.25"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</row>
    <row r="438" spans="33:45" ht="20.100000000000001" customHeight="1" x14ac:dyDescent="0.25"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</row>
    <row r="439" spans="33:45" ht="20.100000000000001" customHeight="1" x14ac:dyDescent="0.25"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</row>
    <row r="440" spans="33:45" ht="20.100000000000001" customHeight="1" x14ac:dyDescent="0.25"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</row>
    <row r="441" spans="33:45" ht="20.100000000000001" customHeight="1" x14ac:dyDescent="0.25"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</row>
    <row r="442" spans="33:45" ht="20.100000000000001" customHeight="1" x14ac:dyDescent="0.25"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5"/>
    </row>
    <row r="443" spans="33:45" ht="20.100000000000001" customHeight="1" x14ac:dyDescent="0.25"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</row>
    <row r="444" spans="33:45" ht="20.100000000000001" customHeight="1" x14ac:dyDescent="0.25"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5"/>
    </row>
    <row r="445" spans="33:45" ht="20.100000000000001" customHeight="1" x14ac:dyDescent="0.25"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5"/>
    </row>
    <row r="446" spans="33:45" ht="20.100000000000001" customHeight="1" x14ac:dyDescent="0.25"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</row>
    <row r="447" spans="33:45" ht="20.100000000000001" customHeight="1" x14ac:dyDescent="0.25"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</row>
    <row r="448" spans="33:45" ht="20.100000000000001" customHeight="1" x14ac:dyDescent="0.25"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5"/>
    </row>
    <row r="449" spans="33:45" ht="20.100000000000001" customHeight="1" x14ac:dyDescent="0.25"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5"/>
    </row>
    <row r="450" spans="33:45" ht="20.100000000000001" customHeight="1" x14ac:dyDescent="0.25"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</row>
    <row r="451" spans="33:45" ht="20.100000000000001" customHeight="1" x14ac:dyDescent="0.25"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5"/>
    </row>
    <row r="452" spans="33:45" ht="20.100000000000001" customHeight="1" x14ac:dyDescent="0.25"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5"/>
    </row>
    <row r="453" spans="33:45" ht="20.100000000000001" customHeight="1" x14ac:dyDescent="0.25"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5"/>
    </row>
    <row r="454" spans="33:45" ht="20.100000000000001" customHeight="1" x14ac:dyDescent="0.25"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5"/>
    </row>
    <row r="455" spans="33:45" ht="20.100000000000001" customHeight="1" x14ac:dyDescent="0.25"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5"/>
    </row>
    <row r="456" spans="33:45" ht="20.100000000000001" customHeight="1" x14ac:dyDescent="0.25"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5"/>
    </row>
    <row r="457" spans="33:45" ht="20.100000000000001" customHeight="1" x14ac:dyDescent="0.25"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</row>
    <row r="458" spans="33:45" ht="20.100000000000001" customHeight="1" x14ac:dyDescent="0.25"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5"/>
    </row>
    <row r="459" spans="33:45" ht="20.100000000000001" customHeight="1" x14ac:dyDescent="0.25"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5"/>
    </row>
    <row r="460" spans="33:45" ht="20.100000000000001" customHeight="1" x14ac:dyDescent="0.25"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5"/>
    </row>
    <row r="461" spans="33:45" ht="20.100000000000001" customHeight="1" x14ac:dyDescent="0.25"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</row>
    <row r="462" spans="33:45" ht="20.100000000000001" customHeight="1" x14ac:dyDescent="0.25"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</row>
    <row r="463" spans="33:45" ht="20.100000000000001" customHeight="1" x14ac:dyDescent="0.25"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</row>
    <row r="464" spans="33:45" ht="20.100000000000001" customHeight="1" x14ac:dyDescent="0.25"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</row>
    <row r="465" spans="33:45" ht="20.100000000000001" customHeight="1" x14ac:dyDescent="0.25"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</row>
    <row r="466" spans="33:45" ht="20.100000000000001" customHeight="1" x14ac:dyDescent="0.25"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</row>
    <row r="467" spans="33:45" ht="20.100000000000001" customHeight="1" x14ac:dyDescent="0.25"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</row>
    <row r="468" spans="33:45" ht="20.100000000000001" customHeight="1" x14ac:dyDescent="0.25"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</row>
    <row r="469" spans="33:45" ht="20.100000000000001" customHeight="1" x14ac:dyDescent="0.25"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</row>
    <row r="470" spans="33:45" ht="20.100000000000001" customHeight="1" x14ac:dyDescent="0.25"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</row>
    <row r="471" spans="33:45" ht="20.100000000000001" customHeight="1" x14ac:dyDescent="0.25"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5"/>
    </row>
    <row r="472" spans="33:45" ht="20.100000000000001" customHeight="1" x14ac:dyDescent="0.25"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</row>
    <row r="473" spans="33:45" ht="20.100000000000001" customHeight="1" x14ac:dyDescent="0.25"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</row>
    <row r="474" spans="33:45" ht="20.100000000000001" customHeight="1" x14ac:dyDescent="0.25"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5"/>
    </row>
    <row r="475" spans="33:45" ht="20.100000000000001" customHeight="1" x14ac:dyDescent="0.25"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5"/>
    </row>
    <row r="476" spans="33:45" ht="20.100000000000001" customHeight="1" x14ac:dyDescent="0.25"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</row>
    <row r="477" spans="33:45" ht="20.100000000000001" customHeight="1" x14ac:dyDescent="0.25"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</row>
    <row r="478" spans="33:45" ht="20.100000000000001" customHeight="1" x14ac:dyDescent="0.25"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/>
    </row>
    <row r="479" spans="33:45" ht="20.100000000000001" customHeight="1" x14ac:dyDescent="0.25"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</row>
    <row r="480" spans="33:45" ht="20.100000000000001" customHeight="1" x14ac:dyDescent="0.25"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5"/>
    </row>
    <row r="481" spans="33:45" ht="20.100000000000001" customHeight="1" x14ac:dyDescent="0.25"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/>
    </row>
    <row r="482" spans="33:45" ht="20.100000000000001" customHeight="1" x14ac:dyDescent="0.25"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5"/>
    </row>
    <row r="483" spans="33:45" ht="20.100000000000001" customHeight="1" x14ac:dyDescent="0.25"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</row>
    <row r="484" spans="33:45" ht="20.100000000000001" customHeight="1" x14ac:dyDescent="0.25"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5"/>
    </row>
    <row r="485" spans="33:45" ht="20.100000000000001" customHeight="1" x14ac:dyDescent="0.25"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/>
    </row>
    <row r="486" spans="33:45" ht="20.100000000000001" customHeight="1" x14ac:dyDescent="0.25"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/>
    </row>
    <row r="487" spans="33:45" ht="20.100000000000001" customHeight="1" x14ac:dyDescent="0.25"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5"/>
    </row>
    <row r="488" spans="33:45" ht="20.100000000000001" customHeight="1" x14ac:dyDescent="0.25"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/>
    </row>
    <row r="489" spans="33:45" ht="20.100000000000001" customHeight="1" x14ac:dyDescent="0.25"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</row>
    <row r="490" spans="33:45" ht="20.100000000000001" customHeight="1" x14ac:dyDescent="0.25"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/>
    </row>
    <row r="491" spans="33:45" ht="20.100000000000001" customHeight="1" x14ac:dyDescent="0.25"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</row>
    <row r="492" spans="33:45" ht="20.100000000000001" customHeight="1" x14ac:dyDescent="0.25"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</row>
    <row r="493" spans="33:45" ht="20.100000000000001" customHeight="1" x14ac:dyDescent="0.25"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5"/>
    </row>
    <row r="494" spans="33:45" ht="20.100000000000001" customHeight="1" x14ac:dyDescent="0.25"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</row>
    <row r="495" spans="33:45" ht="20.100000000000001" customHeight="1" x14ac:dyDescent="0.25"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</row>
    <row r="496" spans="33:45" ht="20.100000000000001" customHeight="1" x14ac:dyDescent="0.25"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</row>
    <row r="497" spans="33:45" ht="20.100000000000001" customHeight="1" x14ac:dyDescent="0.25"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</row>
    <row r="498" spans="33:45" ht="20.100000000000001" customHeight="1" x14ac:dyDescent="0.25"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</row>
    <row r="499" spans="33:45" ht="20.100000000000001" customHeight="1" x14ac:dyDescent="0.25"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5"/>
    </row>
    <row r="500" spans="33:45" ht="20.100000000000001" customHeight="1" x14ac:dyDescent="0.25"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5"/>
    </row>
    <row r="501" spans="33:45" ht="20.100000000000001" customHeight="1" x14ac:dyDescent="0.25"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</row>
    <row r="502" spans="33:45" ht="20.100000000000001" customHeight="1" x14ac:dyDescent="0.25"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</row>
    <row r="503" spans="33:45" ht="20.100000000000001" customHeight="1" x14ac:dyDescent="0.25"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5"/>
    </row>
    <row r="504" spans="33:45" ht="20.100000000000001" customHeight="1" x14ac:dyDescent="0.25"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</row>
    <row r="505" spans="33:45" ht="20.100000000000001" customHeight="1" x14ac:dyDescent="0.25"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</row>
    <row r="506" spans="33:45" ht="20.100000000000001" customHeight="1" x14ac:dyDescent="0.25"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</row>
    <row r="507" spans="33:45" ht="20.100000000000001" customHeight="1" x14ac:dyDescent="0.25"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</row>
    <row r="508" spans="33:45" ht="20.100000000000001" customHeight="1" x14ac:dyDescent="0.25"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</row>
    <row r="509" spans="33:45" ht="20.100000000000001" customHeight="1" x14ac:dyDescent="0.25"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5"/>
    </row>
    <row r="510" spans="33:45" ht="20.100000000000001" customHeight="1" x14ac:dyDescent="0.25"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5"/>
    </row>
    <row r="511" spans="33:45" ht="20.100000000000001" customHeight="1" x14ac:dyDescent="0.25"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5"/>
    </row>
    <row r="512" spans="33:45" ht="20.100000000000001" customHeight="1" x14ac:dyDescent="0.25"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5"/>
    </row>
    <row r="513" spans="33:45" ht="20.100000000000001" customHeight="1" x14ac:dyDescent="0.25"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5"/>
    </row>
    <row r="514" spans="33:45" ht="20.100000000000001" customHeight="1" x14ac:dyDescent="0.25"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5"/>
    </row>
    <row r="515" spans="33:45" ht="20.100000000000001" customHeight="1" x14ac:dyDescent="0.25"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/>
    </row>
    <row r="516" spans="33:45" ht="20.100000000000001" customHeight="1" x14ac:dyDescent="0.25"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</row>
    <row r="517" spans="33:45" ht="20.100000000000001" customHeight="1" x14ac:dyDescent="0.25"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</row>
    <row r="518" spans="33:45" ht="20.100000000000001" customHeight="1" x14ac:dyDescent="0.25"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/>
    </row>
    <row r="519" spans="33:45" ht="20.100000000000001" customHeight="1" x14ac:dyDescent="0.25"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</row>
    <row r="520" spans="33:45" ht="20.100000000000001" customHeight="1" x14ac:dyDescent="0.25"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5"/>
    </row>
    <row r="521" spans="33:45" ht="20.100000000000001" customHeight="1" x14ac:dyDescent="0.25"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</row>
    <row r="522" spans="33:45" ht="20.100000000000001" customHeight="1" x14ac:dyDescent="0.25"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</row>
    <row r="523" spans="33:45" ht="20.100000000000001" customHeight="1" x14ac:dyDescent="0.25"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</row>
    <row r="524" spans="33:45" ht="20.100000000000001" customHeight="1" x14ac:dyDescent="0.25"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5"/>
    </row>
    <row r="525" spans="33:45" ht="20.100000000000001" customHeight="1" x14ac:dyDescent="0.25"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</row>
    <row r="526" spans="33:45" ht="20.100000000000001" customHeight="1" x14ac:dyDescent="0.25"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</row>
    <row r="527" spans="33:45" ht="20.100000000000001" customHeight="1" x14ac:dyDescent="0.25"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</row>
    <row r="528" spans="33:45" ht="20.100000000000001" customHeight="1" x14ac:dyDescent="0.25"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</row>
    <row r="529" spans="33:45" ht="20.100000000000001" customHeight="1" x14ac:dyDescent="0.25"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</row>
    <row r="530" spans="33:45" ht="20.100000000000001" customHeight="1" x14ac:dyDescent="0.25"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</row>
    <row r="531" spans="33:45" ht="20.100000000000001" customHeight="1" x14ac:dyDescent="0.25"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</row>
    <row r="532" spans="33:45" ht="20.100000000000001" customHeight="1" x14ac:dyDescent="0.25"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</row>
    <row r="533" spans="33:45" ht="20.100000000000001" customHeight="1" x14ac:dyDescent="0.25"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</row>
    <row r="534" spans="33:45" ht="20.100000000000001" customHeight="1" x14ac:dyDescent="0.25"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/>
    </row>
    <row r="535" spans="33:45" ht="20.100000000000001" customHeight="1" x14ac:dyDescent="0.25"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/>
    </row>
    <row r="536" spans="33:45" ht="20.100000000000001" customHeight="1" x14ac:dyDescent="0.25"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</row>
    <row r="537" spans="33:45" ht="20.100000000000001" customHeight="1" x14ac:dyDescent="0.25"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</row>
    <row r="538" spans="33:45" ht="20.100000000000001" customHeight="1" x14ac:dyDescent="0.25"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</row>
    <row r="539" spans="33:45" ht="20.100000000000001" customHeight="1" x14ac:dyDescent="0.25"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5"/>
    </row>
    <row r="540" spans="33:45" ht="20.100000000000001" customHeight="1" x14ac:dyDescent="0.25"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</row>
    <row r="541" spans="33:45" ht="20.100000000000001" customHeight="1" x14ac:dyDescent="0.25"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</row>
    <row r="542" spans="33:45" ht="20.100000000000001" customHeight="1" x14ac:dyDescent="0.25"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</row>
    <row r="543" spans="33:45" ht="20.100000000000001" customHeight="1" x14ac:dyDescent="0.25"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</row>
    <row r="544" spans="33:45" ht="20.100000000000001" customHeight="1" x14ac:dyDescent="0.25"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</row>
    <row r="545" spans="33:45" ht="20.100000000000001" customHeight="1" x14ac:dyDescent="0.25"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</row>
    <row r="546" spans="33:45" ht="20.100000000000001" customHeight="1" x14ac:dyDescent="0.25"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</row>
    <row r="547" spans="33:45" ht="20.100000000000001" customHeight="1" x14ac:dyDescent="0.25"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5"/>
    </row>
    <row r="548" spans="33:45" ht="20.100000000000001" customHeight="1" x14ac:dyDescent="0.25"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</row>
    <row r="549" spans="33:45" ht="20.100000000000001" customHeight="1" x14ac:dyDescent="0.25"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</row>
    <row r="550" spans="33:45" ht="20.100000000000001" customHeight="1" x14ac:dyDescent="0.25"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5"/>
    </row>
    <row r="551" spans="33:45" ht="20.100000000000001" customHeight="1" x14ac:dyDescent="0.25"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5"/>
    </row>
    <row r="552" spans="33:45" ht="20.100000000000001" customHeight="1" x14ac:dyDescent="0.25"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5"/>
    </row>
    <row r="553" spans="33:45" ht="20.100000000000001" customHeight="1" x14ac:dyDescent="0.25"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5"/>
    </row>
    <row r="554" spans="33:45" ht="20.100000000000001" customHeight="1" x14ac:dyDescent="0.25"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</row>
    <row r="555" spans="33:45" ht="20.100000000000001" customHeight="1" x14ac:dyDescent="0.25"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</row>
    <row r="556" spans="33:45" ht="20.100000000000001" customHeight="1" x14ac:dyDescent="0.25"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</row>
    <row r="557" spans="33:45" ht="20.100000000000001" customHeight="1" x14ac:dyDescent="0.25"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</row>
    <row r="558" spans="33:45" ht="20.100000000000001" customHeight="1" x14ac:dyDescent="0.25"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</row>
    <row r="559" spans="33:45" ht="20.100000000000001" customHeight="1" x14ac:dyDescent="0.25"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5"/>
    </row>
    <row r="560" spans="33:45" ht="20.100000000000001" customHeight="1" x14ac:dyDescent="0.25"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</row>
    <row r="561" spans="33:45" ht="20.100000000000001" customHeight="1" x14ac:dyDescent="0.25"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</row>
    <row r="562" spans="33:45" ht="20.100000000000001" customHeight="1" x14ac:dyDescent="0.25"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5"/>
    </row>
    <row r="563" spans="33:45" ht="20.100000000000001" customHeight="1" x14ac:dyDescent="0.25"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5"/>
    </row>
    <row r="564" spans="33:45" ht="20.100000000000001" customHeight="1" x14ac:dyDescent="0.25"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</row>
    <row r="565" spans="33:45" ht="20.100000000000001" customHeight="1" x14ac:dyDescent="0.25"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</row>
    <row r="566" spans="33:45" ht="20.100000000000001" customHeight="1" x14ac:dyDescent="0.25"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</row>
    <row r="567" spans="33:45" ht="20.100000000000001" customHeight="1" x14ac:dyDescent="0.25"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</row>
    <row r="568" spans="33:45" ht="20.100000000000001" customHeight="1" x14ac:dyDescent="0.25"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</row>
    <row r="569" spans="33:45" ht="20.100000000000001" customHeight="1" x14ac:dyDescent="0.25"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</row>
    <row r="570" spans="33:45" ht="20.100000000000001" customHeight="1" x14ac:dyDescent="0.25"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</row>
    <row r="571" spans="33:45" ht="20.100000000000001" customHeight="1" x14ac:dyDescent="0.25"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</row>
    <row r="572" spans="33:45" ht="20.100000000000001" customHeight="1" x14ac:dyDescent="0.25"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</row>
    <row r="573" spans="33:45" ht="20.100000000000001" customHeight="1" x14ac:dyDescent="0.25"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</row>
    <row r="574" spans="33:45" ht="20.100000000000001" customHeight="1" x14ac:dyDescent="0.25"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</row>
    <row r="575" spans="33:45" ht="20.100000000000001" customHeight="1" x14ac:dyDescent="0.25"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</row>
    <row r="576" spans="33:45" ht="20.100000000000001" customHeight="1" x14ac:dyDescent="0.25"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</row>
    <row r="577" spans="33:45" ht="20.100000000000001" customHeight="1" x14ac:dyDescent="0.25"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</row>
    <row r="578" spans="33:45" ht="20.100000000000001" customHeight="1" x14ac:dyDescent="0.25"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</row>
    <row r="579" spans="33:45" ht="20.100000000000001" customHeight="1" x14ac:dyDescent="0.25"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</row>
    <row r="580" spans="33:45" ht="20.100000000000001" customHeight="1" x14ac:dyDescent="0.25"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</row>
    <row r="581" spans="33:45" ht="20.100000000000001" customHeight="1" x14ac:dyDescent="0.25"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</row>
    <row r="582" spans="33:45" ht="20.100000000000001" customHeight="1" x14ac:dyDescent="0.25"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</row>
    <row r="583" spans="33:45" ht="20.100000000000001" customHeight="1" x14ac:dyDescent="0.25"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</row>
    <row r="584" spans="33:45" ht="20.100000000000001" customHeight="1" x14ac:dyDescent="0.25"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5"/>
    </row>
    <row r="585" spans="33:45" ht="20.100000000000001" customHeight="1" x14ac:dyDescent="0.25"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</row>
    <row r="586" spans="33:45" ht="20.100000000000001" customHeight="1" x14ac:dyDescent="0.25"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</row>
    <row r="587" spans="33:45" ht="20.100000000000001" customHeight="1" x14ac:dyDescent="0.25"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</row>
    <row r="588" spans="33:45" ht="20.100000000000001" customHeight="1" x14ac:dyDescent="0.25"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</row>
    <row r="589" spans="33:45" ht="20.100000000000001" customHeight="1" x14ac:dyDescent="0.25"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</row>
    <row r="590" spans="33:45" ht="20.100000000000001" customHeight="1" x14ac:dyDescent="0.25"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</row>
    <row r="591" spans="33:45" ht="20.100000000000001" customHeight="1" x14ac:dyDescent="0.25"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</row>
    <row r="592" spans="33:45" ht="20.100000000000001" customHeight="1" x14ac:dyDescent="0.25"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</row>
    <row r="593" spans="33:45" ht="20.100000000000001" customHeight="1" x14ac:dyDescent="0.25"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</row>
    <row r="594" spans="33:45" ht="20.100000000000001" customHeight="1" x14ac:dyDescent="0.25"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</row>
    <row r="595" spans="33:45" ht="20.100000000000001" customHeight="1" x14ac:dyDescent="0.25"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</row>
    <row r="596" spans="33:45" ht="20.100000000000001" customHeight="1" x14ac:dyDescent="0.25"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/>
    </row>
    <row r="597" spans="33:45" ht="20.100000000000001" customHeight="1" x14ac:dyDescent="0.25"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</row>
    <row r="598" spans="33:45" ht="20.100000000000001" customHeight="1" x14ac:dyDescent="0.25"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5"/>
    </row>
    <row r="599" spans="33:45" ht="20.100000000000001" customHeight="1" x14ac:dyDescent="0.25"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5"/>
    </row>
    <row r="600" spans="33:45" ht="20.100000000000001" customHeight="1" x14ac:dyDescent="0.25"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/>
    </row>
    <row r="601" spans="33:45" ht="20.100000000000001" customHeight="1" x14ac:dyDescent="0.25"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5"/>
    </row>
    <row r="602" spans="33:45" ht="20.100000000000001" customHeight="1" x14ac:dyDescent="0.25"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5"/>
    </row>
    <row r="603" spans="33:45" ht="20.100000000000001" customHeight="1" x14ac:dyDescent="0.25"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5"/>
    </row>
    <row r="604" spans="33:45" ht="20.100000000000001" customHeight="1" x14ac:dyDescent="0.25"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5"/>
    </row>
    <row r="605" spans="33:45" ht="20.100000000000001" customHeight="1" x14ac:dyDescent="0.25"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5"/>
    </row>
    <row r="606" spans="33:45" ht="20.100000000000001" customHeight="1" x14ac:dyDescent="0.25"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5"/>
    </row>
    <row r="607" spans="33:45" ht="20.100000000000001" customHeight="1" x14ac:dyDescent="0.25"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5"/>
    </row>
    <row r="608" spans="33:45" ht="20.100000000000001" customHeight="1" x14ac:dyDescent="0.25"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/>
    </row>
    <row r="609" spans="33:45" ht="20.100000000000001" customHeight="1" x14ac:dyDescent="0.25"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5"/>
    </row>
    <row r="610" spans="33:45" ht="20.100000000000001" customHeight="1" x14ac:dyDescent="0.25"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5"/>
    </row>
    <row r="611" spans="33:45" ht="20.100000000000001" customHeight="1" x14ac:dyDescent="0.25"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5"/>
    </row>
    <row r="612" spans="33:45" ht="20.100000000000001" customHeight="1" x14ac:dyDescent="0.25"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5"/>
    </row>
    <row r="613" spans="33:45" ht="20.100000000000001" customHeight="1" x14ac:dyDescent="0.25"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5"/>
    </row>
    <row r="614" spans="33:45" ht="20.100000000000001" customHeight="1" x14ac:dyDescent="0.25"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5"/>
    </row>
    <row r="615" spans="33:45" ht="20.100000000000001" customHeight="1" x14ac:dyDescent="0.25"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5"/>
    </row>
    <row r="616" spans="33:45" ht="20.100000000000001" customHeight="1" x14ac:dyDescent="0.25"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</row>
    <row r="617" spans="33:45" ht="20.100000000000001" customHeight="1" x14ac:dyDescent="0.25"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</row>
    <row r="618" spans="33:45" ht="20.100000000000001" customHeight="1" x14ac:dyDescent="0.25"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</row>
    <row r="619" spans="33:45" ht="20.100000000000001" customHeight="1" x14ac:dyDescent="0.25"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5"/>
    </row>
    <row r="620" spans="33:45" ht="20.100000000000001" customHeight="1" x14ac:dyDescent="0.25"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5"/>
    </row>
    <row r="621" spans="33:45" ht="20.100000000000001" customHeight="1" x14ac:dyDescent="0.25"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5"/>
    </row>
    <row r="622" spans="33:45" ht="20.100000000000001" customHeight="1" x14ac:dyDescent="0.25"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5"/>
    </row>
    <row r="623" spans="33:45" ht="20.100000000000001" customHeight="1" x14ac:dyDescent="0.25"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5"/>
    </row>
    <row r="624" spans="33:45" ht="20.100000000000001" customHeight="1" x14ac:dyDescent="0.25"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5"/>
    </row>
    <row r="625" spans="33:45" ht="20.100000000000001" customHeight="1" x14ac:dyDescent="0.25"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5"/>
    </row>
    <row r="626" spans="33:45" ht="20.100000000000001" customHeight="1" x14ac:dyDescent="0.25"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</row>
    <row r="627" spans="33:45" ht="20.100000000000001" customHeight="1" x14ac:dyDescent="0.25"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</row>
    <row r="628" spans="33:45" ht="20.100000000000001" customHeight="1" x14ac:dyDescent="0.25"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5"/>
    </row>
    <row r="629" spans="33:45" ht="20.100000000000001" customHeight="1" x14ac:dyDescent="0.25"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5"/>
    </row>
    <row r="630" spans="33:45" ht="20.100000000000001" customHeight="1" x14ac:dyDescent="0.25"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</row>
    <row r="631" spans="33:45" ht="20.100000000000001" customHeight="1" x14ac:dyDescent="0.25"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</row>
    <row r="632" spans="33:45" ht="20.100000000000001" customHeight="1" x14ac:dyDescent="0.25"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5"/>
    </row>
    <row r="633" spans="33:45" ht="20.100000000000001" customHeight="1" x14ac:dyDescent="0.25"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5"/>
    </row>
    <row r="634" spans="33:45" ht="20.100000000000001" customHeight="1" x14ac:dyDescent="0.25"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5"/>
    </row>
    <row r="635" spans="33:45" ht="20.100000000000001" customHeight="1" x14ac:dyDescent="0.25"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5"/>
    </row>
    <row r="636" spans="33:45" ht="20.100000000000001" customHeight="1" x14ac:dyDescent="0.25"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5"/>
    </row>
    <row r="637" spans="33:45" ht="20.100000000000001" customHeight="1" x14ac:dyDescent="0.25"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5"/>
    </row>
    <row r="638" spans="33:45" ht="20.100000000000001" customHeight="1" x14ac:dyDescent="0.25"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</row>
    <row r="639" spans="33:45" ht="20.100000000000001" customHeight="1" x14ac:dyDescent="0.25"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5"/>
    </row>
  </sheetData>
  <mergeCells count="22">
    <mergeCell ref="L10:N10"/>
    <mergeCell ref="L11:N11"/>
    <mergeCell ref="H7:J7"/>
    <mergeCell ref="H11:J11"/>
    <mergeCell ref="D11:F11"/>
    <mergeCell ref="D7:F7"/>
    <mergeCell ref="D8:F8"/>
    <mergeCell ref="D9:F9"/>
    <mergeCell ref="D10:F10"/>
    <mergeCell ref="H10:J10"/>
    <mergeCell ref="H9:J9"/>
    <mergeCell ref="H8:J8"/>
    <mergeCell ref="L8:N8"/>
    <mergeCell ref="L9:N9"/>
    <mergeCell ref="D6:F6"/>
    <mergeCell ref="H6:J6"/>
    <mergeCell ref="L4:N4"/>
    <mergeCell ref="AG3:AK3"/>
    <mergeCell ref="AM3:AR3"/>
    <mergeCell ref="V4:X4"/>
    <mergeCell ref="D4:F4"/>
    <mergeCell ref="H4:J4"/>
  </mergeCells>
  <conditionalFormatting sqref="W46:Z46 U46 T32:T33 V32:V33 X32:X33 Z32:Z33 AB32:AB33 AG32:AG33 T39:T46 Z40:Z46 AB40:AB46 AG40:AG46 X40:X46 V40:V46 T35:T36 V35:V36 X35:X36 Z35:Z36 AB35:AB36 AG35:AG36 AG49:AG53 R53 AG56:AG57 AD58 AB51:AB53 Z51:Z53 X51:X53 V51:V53 U49:AB50 U39:AB39 N49:N52 L49:L52 J49:J52 H49:H52 F49:F52 T49:T53 AE54:AG55 AE39:AG39">
    <cfRule type="expression" dxfId="81" priority="210">
      <formula>COUNTA($R$6:$R$24)=0</formula>
    </cfRule>
  </conditionalFormatting>
  <conditionalFormatting sqref="AC73:AC79 Z60:AB60 Z84:AB90 AC81:AC85 AE87:AE88 AC86:AD87 AE90:AE97 AC89:AD96 AC67:AD68 W87:Y91 R83:V87 W62:Y63 R58:V59 AD59:AD66 AE59:AE69">
    <cfRule type="expression" dxfId="80" priority="211">
      <formula>R58&lt;=$J$15*40%</formula>
    </cfRule>
  </conditionalFormatting>
  <conditionalFormatting sqref="T39:AB39 AE39:AG39">
    <cfRule type="expression" dxfId="79" priority="148">
      <formula>$T$39=300</formula>
    </cfRule>
  </conditionalFormatting>
  <conditionalFormatting sqref="F49 T49:AB49 AE54:AG54">
    <cfRule type="expression" dxfId="78" priority="139">
      <formula>$F$49=250</formula>
    </cfRule>
  </conditionalFormatting>
  <conditionalFormatting sqref="H49">
    <cfRule type="expression" dxfId="77" priority="137">
      <formula>$H$49=250</formula>
    </cfRule>
  </conditionalFormatting>
  <conditionalFormatting sqref="J49">
    <cfRule type="expression" dxfId="76" priority="136">
      <formula>$J$49=250</formula>
    </cfRule>
  </conditionalFormatting>
  <conditionalFormatting sqref="L49">
    <cfRule type="expression" dxfId="75" priority="135">
      <formula>$L$49=250</formula>
    </cfRule>
  </conditionalFormatting>
  <conditionalFormatting sqref="N49">
    <cfRule type="expression" dxfId="74" priority="134">
      <formula>$N$49=250</formula>
    </cfRule>
  </conditionalFormatting>
  <conditionalFormatting sqref="AG49">
    <cfRule type="expression" dxfId="73" priority="132">
      <formula>$AG$49=250</formula>
    </cfRule>
  </conditionalFormatting>
  <conditionalFormatting sqref="T35">
    <cfRule type="expression" dxfId="72" priority="131">
      <formula>$T$35=900</formula>
    </cfRule>
  </conditionalFormatting>
  <conditionalFormatting sqref="V35">
    <cfRule type="expression" dxfId="71" priority="129">
      <formula>$V$35=900</formula>
    </cfRule>
  </conditionalFormatting>
  <conditionalFormatting sqref="X35">
    <cfRule type="expression" dxfId="70" priority="128">
      <formula>$X$35=900</formula>
    </cfRule>
  </conditionalFormatting>
  <conditionalFormatting sqref="Z35">
    <cfRule type="expression" dxfId="69" priority="127">
      <formula>$Z$35=900</formula>
    </cfRule>
  </conditionalFormatting>
  <conditionalFormatting sqref="AB35">
    <cfRule type="expression" dxfId="68" priority="126">
      <formula>$AB$35=900</formula>
    </cfRule>
  </conditionalFormatting>
  <conditionalFormatting sqref="AG35">
    <cfRule type="expression" dxfId="67" priority="124">
      <formula>$AG$35=900</formula>
    </cfRule>
  </conditionalFormatting>
  <conditionalFormatting sqref="T42">
    <cfRule type="expression" dxfId="66" priority="91">
      <formula>$T$42=300</formula>
    </cfRule>
    <cfRule type="expression" dxfId="65" priority="123">
      <formula>$T$42=1300</formula>
    </cfRule>
  </conditionalFormatting>
  <conditionalFormatting sqref="V42">
    <cfRule type="expression" dxfId="64" priority="89">
      <formula>$V$42=300</formula>
    </cfRule>
    <cfRule type="expression" dxfId="63" priority="121">
      <formula>$V$42=1300</formula>
    </cfRule>
  </conditionalFormatting>
  <conditionalFormatting sqref="X42">
    <cfRule type="expression" dxfId="62" priority="88">
      <formula>$X$42=300</formula>
    </cfRule>
    <cfRule type="expression" dxfId="61" priority="120">
      <formula>$X$42=1300</formula>
    </cfRule>
  </conditionalFormatting>
  <conditionalFormatting sqref="Z42">
    <cfRule type="expression" dxfId="60" priority="87">
      <formula>$Z$42=300</formula>
    </cfRule>
    <cfRule type="expression" dxfId="59" priority="119">
      <formula>$Z$42=1300</formula>
    </cfRule>
  </conditionalFormatting>
  <conditionalFormatting sqref="AB42">
    <cfRule type="expression" dxfId="58" priority="86">
      <formula>$AB$42=300</formula>
    </cfRule>
    <cfRule type="expression" dxfId="57" priority="118">
      <formula>$AB$42=1300</formula>
    </cfRule>
  </conditionalFormatting>
  <conditionalFormatting sqref="AG42">
    <cfRule type="expression" dxfId="56" priority="84">
      <formula>$AG$42=300</formula>
    </cfRule>
    <cfRule type="expression" dxfId="55" priority="116">
      <formula>$AG$42=1300</formula>
    </cfRule>
  </conditionalFormatting>
  <conditionalFormatting sqref="T44">
    <cfRule type="expression" dxfId="54" priority="83">
      <formula>$T$44=300</formula>
    </cfRule>
    <cfRule type="expression" dxfId="53" priority="115">
      <formula>$T$44=2200</formula>
    </cfRule>
  </conditionalFormatting>
  <conditionalFormatting sqref="V44">
    <cfRule type="expression" dxfId="52" priority="81">
      <formula>$V$44=300</formula>
    </cfRule>
    <cfRule type="expression" dxfId="51" priority="113">
      <formula>$V$44=2200</formula>
    </cfRule>
  </conditionalFormatting>
  <conditionalFormatting sqref="X44">
    <cfRule type="expression" dxfId="50" priority="80">
      <formula>$X$44=300</formula>
    </cfRule>
    <cfRule type="expression" dxfId="49" priority="112">
      <formula>$X$44=2200</formula>
    </cfRule>
  </conditionalFormatting>
  <conditionalFormatting sqref="Z44">
    <cfRule type="expression" dxfId="48" priority="79">
      <formula>$Z$44=300</formula>
    </cfRule>
    <cfRule type="expression" dxfId="47" priority="111">
      <formula>$Z$44=2200</formula>
    </cfRule>
  </conditionalFormatting>
  <conditionalFormatting sqref="AB44">
    <cfRule type="expression" dxfId="46" priority="78">
      <formula>$AB$44=300</formula>
    </cfRule>
    <cfRule type="expression" dxfId="45" priority="110">
      <formula>$AB$44=2200</formula>
    </cfRule>
  </conditionalFormatting>
  <conditionalFormatting sqref="AG44">
    <cfRule type="expression" dxfId="44" priority="76">
      <formula>$AG$44=300</formula>
    </cfRule>
    <cfRule type="expression" dxfId="43" priority="108">
      <formula>$AG$44=2200</formula>
    </cfRule>
  </conditionalFormatting>
  <conditionalFormatting sqref="T46">
    <cfRule type="expression" dxfId="42" priority="75">
      <formula>$T$46=300</formula>
    </cfRule>
    <cfRule type="expression" dxfId="41" priority="107">
      <formula>$T$46=2200</formula>
    </cfRule>
  </conditionalFormatting>
  <conditionalFormatting sqref="V46">
    <cfRule type="expression" dxfId="40" priority="73">
      <formula>$V$46=300</formula>
    </cfRule>
    <cfRule type="expression" dxfId="39" priority="105">
      <formula>$V$46=2200</formula>
    </cfRule>
  </conditionalFormatting>
  <conditionalFormatting sqref="X46">
    <cfRule type="expression" dxfId="38" priority="72">
      <formula>$X$46=300</formula>
    </cfRule>
    <cfRule type="expression" dxfId="37" priority="104">
      <formula>$X$46=2200</formula>
    </cfRule>
  </conditionalFormatting>
  <conditionalFormatting sqref="Z46">
    <cfRule type="expression" dxfId="36" priority="71">
      <formula>$Z$46=300</formula>
    </cfRule>
    <cfRule type="expression" dxfId="35" priority="103">
      <formula>$Z$46=2200</formula>
    </cfRule>
  </conditionalFormatting>
  <conditionalFormatting sqref="AB46">
    <cfRule type="expression" dxfId="34" priority="70">
      <formula>$AB$46=300</formula>
    </cfRule>
    <cfRule type="expression" dxfId="33" priority="102">
      <formula>$AB$46=2200</formula>
    </cfRule>
  </conditionalFormatting>
  <conditionalFormatting sqref="AG46">
    <cfRule type="expression" dxfId="32" priority="68">
      <formula>$AG$46=300</formula>
    </cfRule>
    <cfRule type="expression" dxfId="31" priority="100">
      <formula>$AG$46=2200</formula>
    </cfRule>
  </conditionalFormatting>
  <conditionalFormatting sqref="F50 T50:AB50 AE55:AG55">
    <cfRule type="expression" dxfId="30" priority="58">
      <formula>$F$50=550</formula>
    </cfRule>
    <cfRule type="expression" dxfId="29" priority="67">
      <formula>$F$50=850</formula>
    </cfRule>
    <cfRule type="expression" dxfId="28" priority="99">
      <formula>$F$50=3750</formula>
    </cfRule>
  </conditionalFormatting>
  <conditionalFormatting sqref="H50">
    <cfRule type="expression" dxfId="27" priority="56">
      <formula>$H$50=550</formula>
    </cfRule>
    <cfRule type="expression" dxfId="26" priority="65">
      <formula>$H$50=850</formula>
    </cfRule>
    <cfRule type="expression" dxfId="25" priority="97">
      <formula>$H$50=3750</formula>
    </cfRule>
  </conditionalFormatting>
  <conditionalFormatting sqref="J50">
    <cfRule type="expression" dxfId="24" priority="55">
      <formula>$J$50=550</formula>
    </cfRule>
    <cfRule type="expression" dxfId="23" priority="64">
      <formula>$J$50=850</formula>
    </cfRule>
    <cfRule type="expression" dxfId="22" priority="96">
      <formula>$J$50=3750</formula>
    </cfRule>
  </conditionalFormatting>
  <conditionalFormatting sqref="L50">
    <cfRule type="expression" dxfId="21" priority="54">
      <formula>$L$50=550</formula>
    </cfRule>
    <cfRule type="expression" dxfId="20" priority="63">
      <formula>$L$50=850</formula>
    </cfRule>
    <cfRule type="expression" dxfId="19" priority="95">
      <formula>$L$50=3750</formula>
    </cfRule>
  </conditionalFormatting>
  <conditionalFormatting sqref="N50">
    <cfRule type="expression" dxfId="18" priority="53">
      <formula>$N$50=550</formula>
    </cfRule>
    <cfRule type="expression" dxfId="17" priority="62">
      <formula>$N$50=850</formula>
    </cfRule>
    <cfRule type="expression" dxfId="16" priority="94">
      <formula>$N$50=3750</formula>
    </cfRule>
  </conditionalFormatting>
  <conditionalFormatting sqref="AG50">
    <cfRule type="expression" dxfId="15" priority="51">
      <formula>$AG$50=550</formula>
    </cfRule>
    <cfRule type="expression" dxfId="14" priority="60">
      <formula>$AG$50=850</formula>
    </cfRule>
    <cfRule type="expression" dxfId="13" priority="92">
      <formula>$AG$50=3750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ignoredErrors>
    <ignoredError sqref="R8:R9 I44:J44 M43 M38 M44:N44 M46:N46 J28:L29 K44:L44 J32:L43 J30:L30 F44:H44 J31:K31 T30:AB35 V40:AB42 T41:T42 V45:AB46 V51:AB51 V15:X23 Z9:Z11 H51:N51 J23 D23:I23 K23:N23 R11" unlockedFormula="1"/>
    <ignoredError sqref="L31" formula="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B4:V41"/>
  <sheetViews>
    <sheetView zoomScaleNormal="100" workbookViewId="0">
      <selection activeCell="S38" sqref="S38"/>
    </sheetView>
  </sheetViews>
  <sheetFormatPr baseColWidth="10" defaultRowHeight="12.75" x14ac:dyDescent="0.25"/>
  <cols>
    <col min="1" max="1" width="1.7109375" style="232" customWidth="1"/>
    <col min="2" max="2" width="30.7109375" style="232" customWidth="1"/>
    <col min="3" max="3" width="2.5703125" style="232" customWidth="1"/>
    <col min="4" max="4" width="20.85546875" style="232" customWidth="1"/>
    <col min="5" max="5" width="1.7109375" style="232" customWidth="1"/>
    <col min="6" max="6" width="13.7109375" style="232" customWidth="1"/>
    <col min="7" max="7" width="1.7109375" style="232" customWidth="1"/>
    <col min="8" max="8" width="13.7109375" style="232" customWidth="1"/>
    <col min="9" max="9" width="1.7109375" style="232" customWidth="1"/>
    <col min="10" max="10" width="13.7109375" style="232" customWidth="1"/>
    <col min="11" max="11" width="1.7109375" style="232" customWidth="1"/>
    <col min="12" max="12" width="13.7109375" style="232" customWidth="1"/>
    <col min="13" max="13" width="1.7109375" style="232" customWidth="1"/>
    <col min="14" max="14" width="13.7109375" style="232" customWidth="1"/>
    <col min="15" max="15" width="1.7109375" style="232" customWidth="1"/>
    <col min="16" max="16384" width="11.42578125" style="232"/>
  </cols>
  <sheetData>
    <row r="4" spans="2:22" ht="15" x14ac:dyDescent="0.25">
      <c r="R4" s="292"/>
      <c r="S4" s="293"/>
      <c r="T4" s="293"/>
      <c r="U4" s="293"/>
      <c r="V4" s="293"/>
    </row>
    <row r="5" spans="2:22" x14ac:dyDescent="0.25">
      <c r="B5" s="243" t="s">
        <v>84</v>
      </c>
      <c r="C5" s="44"/>
      <c r="D5" s="243" t="s">
        <v>22</v>
      </c>
      <c r="E5" s="241"/>
      <c r="F5" s="241"/>
      <c r="G5" s="29"/>
      <c r="H5" s="243" t="s">
        <v>23</v>
      </c>
      <c r="I5" s="241"/>
      <c r="J5" s="241"/>
      <c r="K5" s="29"/>
      <c r="L5" s="243" t="s">
        <v>83</v>
      </c>
      <c r="M5" s="241"/>
      <c r="N5" s="241"/>
      <c r="R5" s="267"/>
      <c r="S5" s="268"/>
      <c r="T5" s="268"/>
      <c r="U5" s="268"/>
      <c r="V5" s="268"/>
    </row>
    <row r="6" spans="2:22" x14ac:dyDescent="0.25">
      <c r="B6" s="233"/>
      <c r="C6" s="44"/>
      <c r="D6" s="234"/>
      <c r="E6" s="235"/>
      <c r="F6" s="235"/>
      <c r="G6" s="29"/>
      <c r="H6" s="234"/>
      <c r="I6" s="235"/>
      <c r="J6" s="235"/>
      <c r="K6" s="29"/>
      <c r="L6" s="234"/>
      <c r="M6" s="235"/>
      <c r="N6" s="235"/>
      <c r="R6" s="236"/>
      <c r="S6" s="236"/>
      <c r="T6" s="236"/>
      <c r="U6" s="236"/>
      <c r="V6" s="236"/>
    </row>
    <row r="7" spans="2:22" x14ac:dyDescent="0.25">
      <c r="B7" s="28" t="s">
        <v>6</v>
      </c>
      <c r="C7" s="44"/>
      <c r="D7" s="239">
        <f>Données!D6</f>
        <v>0</v>
      </c>
      <c r="E7" s="239"/>
      <c r="F7" s="239"/>
      <c r="G7" s="29"/>
      <c r="H7" s="239">
        <f>Données!H6</f>
        <v>0</v>
      </c>
      <c r="I7" s="239"/>
      <c r="J7" s="239"/>
      <c r="K7" s="29"/>
      <c r="L7" s="239"/>
      <c r="M7" s="35"/>
      <c r="N7" s="35"/>
      <c r="R7" s="269"/>
      <c r="S7" s="270"/>
      <c r="T7" s="270"/>
      <c r="U7" s="270"/>
      <c r="V7" s="270"/>
    </row>
    <row r="8" spans="2:22" x14ac:dyDescent="0.25">
      <c r="B8" s="28" t="s">
        <v>7</v>
      </c>
      <c r="C8" s="44"/>
      <c r="D8" s="239">
        <f>Données!D7</f>
        <v>0</v>
      </c>
      <c r="E8" s="239"/>
      <c r="F8" s="239"/>
      <c r="G8" s="29"/>
      <c r="H8" s="239">
        <f>Données!H7</f>
        <v>0</v>
      </c>
      <c r="I8" s="239"/>
      <c r="J8" s="239"/>
      <c r="K8" s="29"/>
      <c r="L8" s="239"/>
      <c r="M8" s="35"/>
      <c r="N8" s="35"/>
      <c r="R8" s="269"/>
      <c r="S8" s="270"/>
      <c r="T8" s="270"/>
      <c r="U8" s="270"/>
      <c r="V8" s="270"/>
    </row>
    <row r="9" spans="2:22" x14ac:dyDescent="0.25">
      <c r="B9" s="28" t="s">
        <v>24</v>
      </c>
      <c r="C9" s="44"/>
      <c r="D9" s="239">
        <f>Données!D8</f>
        <v>0</v>
      </c>
      <c r="E9" s="239"/>
      <c r="F9" s="239"/>
      <c r="G9" s="29"/>
      <c r="H9" s="239">
        <f>Données!H8</f>
        <v>0</v>
      </c>
      <c r="I9" s="239"/>
      <c r="J9" s="239"/>
      <c r="K9" s="29"/>
      <c r="L9" s="239">
        <f>Données!L8</f>
        <v>0</v>
      </c>
      <c r="M9" s="239"/>
      <c r="N9" s="239"/>
      <c r="R9" s="269"/>
      <c r="S9" s="270"/>
      <c r="T9" s="270"/>
      <c r="U9" s="270"/>
      <c r="V9" s="270"/>
    </row>
    <row r="10" spans="2:22" x14ac:dyDescent="0.25">
      <c r="B10" s="28" t="s">
        <v>25</v>
      </c>
      <c r="C10" s="236"/>
      <c r="D10" s="239">
        <f>Données!D9</f>
        <v>0</v>
      </c>
      <c r="E10" s="239"/>
      <c r="F10" s="239"/>
      <c r="G10" s="29"/>
      <c r="H10" s="239">
        <f>Données!H9</f>
        <v>0</v>
      </c>
      <c r="I10" s="239"/>
      <c r="J10" s="239"/>
      <c r="K10" s="29"/>
      <c r="L10" s="239">
        <f>Données!L9</f>
        <v>0</v>
      </c>
      <c r="M10" s="239"/>
      <c r="N10" s="239"/>
      <c r="R10" s="269"/>
      <c r="S10" s="270"/>
      <c r="T10" s="270"/>
      <c r="U10" s="270"/>
      <c r="V10" s="270"/>
    </row>
    <row r="11" spans="2:22" ht="15" x14ac:dyDescent="0.25">
      <c r="B11" s="28" t="s">
        <v>26</v>
      </c>
      <c r="C11" s="44"/>
      <c r="D11" s="239">
        <f>Données!D10</f>
        <v>0</v>
      </c>
      <c r="E11" s="239"/>
      <c r="F11" s="239"/>
      <c r="G11" s="29"/>
      <c r="H11" s="239"/>
      <c r="I11" s="240"/>
      <c r="J11" s="240"/>
      <c r="K11" s="29"/>
      <c r="L11" s="239"/>
      <c r="M11" s="35"/>
      <c r="N11" s="35"/>
    </row>
    <row r="12" spans="2:22" ht="15" x14ac:dyDescent="0.25">
      <c r="B12" s="28" t="s">
        <v>27</v>
      </c>
      <c r="C12" s="44"/>
      <c r="D12" s="239">
        <f>Données!D11</f>
        <v>0</v>
      </c>
      <c r="E12" s="239"/>
      <c r="F12" s="239"/>
      <c r="G12" s="29"/>
      <c r="H12" s="239"/>
      <c r="I12" s="240"/>
      <c r="J12" s="240"/>
      <c r="K12" s="29"/>
      <c r="L12" s="239"/>
      <c r="M12" s="35"/>
      <c r="N12" s="35"/>
    </row>
    <row r="15" spans="2:22" x14ac:dyDescent="0.25">
      <c r="B15" s="244" t="s">
        <v>111</v>
      </c>
      <c r="D15" s="236"/>
      <c r="J15" s="259" t="s">
        <v>4</v>
      </c>
    </row>
    <row r="17" spans="2:18" x14ac:dyDescent="0.25">
      <c r="B17" s="232" t="s">
        <v>119</v>
      </c>
      <c r="D17" s="271">
        <f>Données!R11+Données!X23</f>
        <v>0</v>
      </c>
      <c r="J17" s="232" t="s">
        <v>137</v>
      </c>
      <c r="N17" s="260">
        <f>Données!F44+Données!H44</f>
        <v>0</v>
      </c>
      <c r="R17" s="237"/>
    </row>
    <row r="18" spans="2:18" x14ac:dyDescent="0.25">
      <c r="B18" s="238" t="s">
        <v>112</v>
      </c>
      <c r="D18" s="271">
        <f>Données!T35</f>
        <v>0</v>
      </c>
      <c r="J18" s="232" t="s">
        <v>138</v>
      </c>
      <c r="N18" s="260">
        <f>Données!J44</f>
        <v>0</v>
      </c>
    </row>
    <row r="19" spans="2:18" x14ac:dyDescent="0.25">
      <c r="B19" s="237" t="s">
        <v>113</v>
      </c>
      <c r="D19" s="271">
        <f>Données!T42</f>
        <v>300</v>
      </c>
      <c r="J19" s="232" t="s">
        <v>139</v>
      </c>
      <c r="N19" s="260">
        <f>Données!J46</f>
        <v>0</v>
      </c>
    </row>
    <row r="20" spans="2:18" x14ac:dyDescent="0.25">
      <c r="B20" s="237" t="s">
        <v>114</v>
      </c>
      <c r="D20" s="271">
        <f>Données!F49</f>
        <v>250</v>
      </c>
      <c r="J20" s="232" t="s">
        <v>140</v>
      </c>
      <c r="N20" s="260">
        <f>N18-N19</f>
        <v>0</v>
      </c>
    </row>
    <row r="21" spans="2:18" x14ac:dyDescent="0.25">
      <c r="B21" s="237" t="s">
        <v>0</v>
      </c>
      <c r="D21" s="271"/>
      <c r="N21" s="260"/>
    </row>
    <row r="22" spans="2:18" x14ac:dyDescent="0.25">
      <c r="B22" s="232" t="s">
        <v>105</v>
      </c>
      <c r="D22" s="271">
        <f>Données!F50</f>
        <v>550</v>
      </c>
    </row>
    <row r="23" spans="2:18" x14ac:dyDescent="0.25">
      <c r="B23" s="239" t="s">
        <v>76</v>
      </c>
      <c r="D23" s="271">
        <f>Données!F51</f>
        <v>0</v>
      </c>
    </row>
    <row r="24" spans="2:18" x14ac:dyDescent="0.25">
      <c r="B24" s="239" t="s">
        <v>115</v>
      </c>
      <c r="D24" s="272" t="e">
        <f>D22/D23</f>
        <v>#DIV/0!</v>
      </c>
    </row>
    <row r="28" spans="2:18" x14ac:dyDescent="0.25">
      <c r="B28" s="247" t="s">
        <v>108</v>
      </c>
      <c r="C28" s="27"/>
      <c r="D28" s="27" t="s">
        <v>85</v>
      </c>
      <c r="E28" s="27"/>
      <c r="F28" s="27" t="s">
        <v>106</v>
      </c>
      <c r="G28" s="27"/>
      <c r="H28" s="38">
        <v>20</v>
      </c>
      <c r="I28" s="27"/>
      <c r="J28" s="27" t="s">
        <v>107</v>
      </c>
      <c r="K28" s="27"/>
      <c r="L28" s="27"/>
      <c r="M28" s="27"/>
      <c r="N28" s="38">
        <f>H28*12</f>
        <v>240</v>
      </c>
      <c r="O28" s="27"/>
      <c r="P28" s="27" t="s">
        <v>134</v>
      </c>
    </row>
    <row r="29" spans="2:18" x14ac:dyDescent="0.25">
      <c r="B29" s="249"/>
      <c r="C29" s="249"/>
      <c r="D29" s="249"/>
      <c r="E29" s="249"/>
      <c r="F29" s="249"/>
      <c r="G29" s="249"/>
      <c r="H29" s="249"/>
      <c r="I29" s="249"/>
      <c r="J29" s="249"/>
      <c r="K29" s="249"/>
      <c r="L29" s="249"/>
      <c r="M29" s="249"/>
      <c r="N29" s="249"/>
      <c r="O29" s="249"/>
      <c r="P29" s="249"/>
    </row>
    <row r="30" spans="2:18" x14ac:dyDescent="0.25">
      <c r="B30" s="248" t="s">
        <v>121</v>
      </c>
      <c r="C30" s="249"/>
      <c r="D30" s="249" t="s">
        <v>109</v>
      </c>
      <c r="E30" s="249"/>
      <c r="F30" s="250">
        <v>5.3199999999999997E-2</v>
      </c>
      <c r="G30" s="249"/>
      <c r="H30" s="249" t="s">
        <v>110</v>
      </c>
      <c r="I30" s="249"/>
      <c r="J30" s="251">
        <f>NOMINAL(F30,12)/12</f>
        <v>4.3287712331259165E-3</v>
      </c>
      <c r="K30" s="249"/>
      <c r="L30" s="249" t="s">
        <v>43</v>
      </c>
      <c r="M30" s="249"/>
      <c r="N30" s="252">
        <f>-PMT(F30/12,H28*12,D22,1)</f>
        <v>3.7300282393076079</v>
      </c>
      <c r="O30" s="249"/>
      <c r="P30" s="252">
        <f>N30*N28</f>
        <v>895.20677743382589</v>
      </c>
    </row>
    <row r="31" spans="2:18" x14ac:dyDescent="0.25">
      <c r="B31" s="248" t="s">
        <v>122</v>
      </c>
      <c r="C31" s="249"/>
      <c r="D31" s="249" t="s">
        <v>133</v>
      </c>
      <c r="E31" s="249"/>
      <c r="F31" s="250">
        <f>RATE(N28,-N31,D22)*12</f>
        <v>8.1585653912469483E-2</v>
      </c>
      <c r="G31" s="249"/>
      <c r="H31" s="249" t="s">
        <v>110</v>
      </c>
      <c r="I31" s="249"/>
      <c r="J31" s="251">
        <f>J30+0.2466%</f>
        <v>6.7947712331259168E-3</v>
      </c>
      <c r="K31" s="249"/>
      <c r="L31" s="246" t="s">
        <v>123</v>
      </c>
      <c r="M31" s="249"/>
      <c r="N31" s="252">
        <f>-PMT(J31,H28*12,D22,1)</f>
        <v>4.6548444554124044</v>
      </c>
      <c r="O31" s="249"/>
      <c r="P31" s="252">
        <f>N31*N28</f>
        <v>1117.1626692989771</v>
      </c>
    </row>
    <row r="35" spans="2:16" x14ac:dyDescent="0.25">
      <c r="B35" s="253" t="s">
        <v>136</v>
      </c>
      <c r="C35" s="27"/>
      <c r="D35" s="27" t="s">
        <v>135</v>
      </c>
      <c r="E35" s="27"/>
      <c r="F35" s="27" t="s">
        <v>106</v>
      </c>
      <c r="G35" s="27"/>
      <c r="H35" s="38">
        <f>H28</f>
        <v>20</v>
      </c>
      <c r="I35" s="27"/>
      <c r="J35" s="27" t="s">
        <v>107</v>
      </c>
      <c r="K35" s="27"/>
      <c r="L35" s="27"/>
      <c r="M35" s="27"/>
      <c r="N35" s="38">
        <f>H35*12</f>
        <v>240</v>
      </c>
      <c r="O35" s="254"/>
      <c r="P35" s="254"/>
    </row>
    <row r="37" spans="2:16" s="242" customFormat="1" x14ac:dyDescent="0.25">
      <c r="B37" s="255" t="s">
        <v>121</v>
      </c>
      <c r="C37" s="254"/>
      <c r="D37" s="254" t="s">
        <v>109</v>
      </c>
      <c r="E37" s="254"/>
      <c r="F37" s="256">
        <v>4.9200000000000001E-2</v>
      </c>
      <c r="G37" s="254"/>
      <c r="H37" s="254" t="s">
        <v>110</v>
      </c>
      <c r="I37" s="254"/>
      <c r="J37" s="257">
        <f>NOMINAL(F37,12)/12</f>
        <v>4.0103507726252374E-3</v>
      </c>
      <c r="K37" s="254"/>
      <c r="L37" s="254" t="s">
        <v>43</v>
      </c>
      <c r="M37" s="254"/>
      <c r="N37" s="258">
        <f>-PMT(F37/12,H35*12,D22,1)</f>
        <v>3.6079495410383551</v>
      </c>
      <c r="O37" s="254"/>
      <c r="P37" s="258">
        <f>N37*N35</f>
        <v>865.90788984920528</v>
      </c>
    </row>
    <row r="38" spans="2:16" s="242" customFormat="1" ht="12" x14ac:dyDescent="0.25"/>
    <row r="39" spans="2:16" s="242" customFormat="1" ht="12" x14ac:dyDescent="0.25"/>
    <row r="40" spans="2:16" x14ac:dyDescent="0.25">
      <c r="B40" s="242" t="s">
        <v>141</v>
      </c>
    </row>
    <row r="41" spans="2:16" x14ac:dyDescent="0.25">
      <c r="B41" s="242" t="s">
        <v>120</v>
      </c>
    </row>
  </sheetData>
  <mergeCells count="1">
    <mergeCell ref="R4:V4"/>
  </mergeCells>
  <conditionalFormatting sqref="D19">
    <cfRule type="expression" dxfId="12" priority="16">
      <formula>$D$19=300</formula>
    </cfRule>
  </conditionalFormatting>
  <conditionalFormatting sqref="D20:D21">
    <cfRule type="expression" dxfId="11" priority="15">
      <formula>$D$20=250</formula>
    </cfRule>
  </conditionalFormatting>
  <conditionalFormatting sqref="D22">
    <cfRule type="expression" dxfId="10" priority="14">
      <formula>$D$22=550</formula>
    </cfRule>
  </conditionalFormatting>
  <conditionalFormatting sqref="D17">
    <cfRule type="expression" dxfId="9" priority="13">
      <formula>$D$17=0</formula>
    </cfRule>
  </conditionalFormatting>
  <conditionalFormatting sqref="D18">
    <cfRule type="expression" dxfId="8" priority="12">
      <formula>$D$18=0</formula>
    </cfRule>
  </conditionalFormatting>
  <conditionalFormatting sqref="D23">
    <cfRule type="expression" dxfId="7" priority="11">
      <formula>$D$23=0</formula>
    </cfRule>
  </conditionalFormatting>
  <conditionalFormatting sqref="N30">
    <cfRule type="expression" dxfId="6" priority="7">
      <formula>$N$30&lt;=$N$18*40%</formula>
    </cfRule>
  </conditionalFormatting>
  <conditionalFormatting sqref="N31">
    <cfRule type="expression" dxfId="5" priority="6">
      <formula>$N$31&lt;=$N$18*40%</formula>
    </cfRule>
  </conditionalFormatting>
  <conditionalFormatting sqref="N37">
    <cfRule type="expression" dxfId="4" priority="5">
      <formula>$N$37&lt;=$N$18*40%</formula>
    </cfRule>
  </conditionalFormatting>
  <conditionalFormatting sqref="N17">
    <cfRule type="expression" dxfId="3" priority="4">
      <formula>$N$17=0</formula>
    </cfRule>
  </conditionalFormatting>
  <conditionalFormatting sqref="N18">
    <cfRule type="expression" dxfId="2" priority="3">
      <formula>$N$18=0</formula>
    </cfRule>
  </conditionalFormatting>
  <conditionalFormatting sqref="N19">
    <cfRule type="expression" dxfId="1" priority="2">
      <formula>$N$19=0</formula>
    </cfRule>
  </conditionalFormatting>
  <conditionalFormatting sqref="N20:N21">
    <cfRule type="expression" dxfId="0" priority="1">
      <formula>$N$20=0</formula>
    </cfRule>
  </conditionalFormatting>
  <dataValidations count="2">
    <dataValidation type="list" allowBlank="1" showInputMessage="1" showErrorMessage="1" sqref="H28">
      <formula1>"10, 15, 20, 25, 30"</formula1>
    </dataValidation>
    <dataValidation type="list" allowBlank="1" showInputMessage="1" showErrorMessage="1" sqref="C28:D28 D35">
      <formula1>"Variable 1/1/1 - cap 3%, Variable 5/1/1 - cap 3%, Variable 10/1/1 -cap 3%, Fixe"</formula1>
    </dataValidation>
  </dataValidations>
  <pageMargins left="0" right="0" top="0.74803149606299213" bottom="0.74803149606299213" header="0.31496062992125984" footer="0.31496062992125984"/>
  <pageSetup paperSize="9" scale="95" orientation="landscape" r:id="rId1"/>
  <headerFooter>
    <oddHeader>&amp;L&amp;G&amp;C
&amp;"Times New Roman,Normal"&amp;12Simulation de crédit d'habitation</oddHeader>
    <oddFooter xml:space="preserve">&amp;L&amp;"Times New Roman,Normal"&amp;10&amp;K03+000
Rue Jules Broeren, 52/1
1070 Bruxelles&amp;C&amp;"Times New Roman,Normal"&amp;10&amp;K03+000
JM Minne - Courtier
FSMA 20360&amp;R
&amp;"Times New Roman,Normal"&amp;10&amp;K03+000Gsm : 0473 / 574.189
Mail : info@jmminne.be&amp;"-,Normal"&amp;11&amp;K01+000 </oddFooter>
  </headerFooter>
  <ignoredErrors>
    <ignoredError sqref="D7:L12" unlockedFormula="1"/>
    <ignoredError sqref="D24" evalError="1"/>
  </ignoredError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Simulation CF</vt:lpstr>
      <vt:lpstr>Données!Zone_d_impression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2011-08-24T16:35:10Z</cp:lastPrinted>
  <dcterms:created xsi:type="dcterms:W3CDTF">2008-03-12T18:15:50Z</dcterms:created>
  <dcterms:modified xsi:type="dcterms:W3CDTF">2011-08-24T18:27:48Z</dcterms:modified>
</cp:coreProperties>
</file>