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11760"/>
  </bookViews>
  <sheets>
    <sheet name="SUIVI" sheetId="1" r:id="rId1"/>
    <sheet name="Feuil2" sheetId="2" r:id="rId2"/>
    <sheet name="Feuil3" sheetId="3" r:id="rId3"/>
  </sheets>
  <externalReferences>
    <externalReference r:id="rId4"/>
  </externalReferences>
  <definedNames>
    <definedName name="N___DP">SUIVI!$J$7:$J$683</definedName>
  </definedNames>
  <calcPr calcId="125725"/>
</workbook>
</file>

<file path=xl/calcChain.xml><?xml version="1.0" encoding="utf-8"?>
<calcChain xmlns="http://schemas.openxmlformats.org/spreadsheetml/2006/main">
  <c r="R39" i="1"/>
  <c r="Q39"/>
  <c r="P39"/>
  <c r="J39"/>
  <c r="X39" s="1"/>
  <c r="H39"/>
  <c r="G39"/>
  <c r="F39"/>
  <c r="R38"/>
  <c r="P38"/>
  <c r="H38"/>
  <c r="G38"/>
  <c r="D38"/>
  <c r="Q38" s="1"/>
  <c r="R37"/>
  <c r="P37"/>
  <c r="H37"/>
  <c r="G37"/>
  <c r="D37"/>
  <c r="Q37" s="1"/>
  <c r="R36"/>
  <c r="P36"/>
  <c r="H36"/>
  <c r="G36"/>
  <c r="D36"/>
  <c r="Q36" s="1"/>
  <c r="Z35"/>
  <c r="R35"/>
  <c r="P35"/>
  <c r="H35"/>
  <c r="G35"/>
  <c r="D35"/>
  <c r="Q35" s="1"/>
  <c r="Z34"/>
  <c r="R34"/>
  <c r="P34"/>
  <c r="H34"/>
  <c r="G34"/>
  <c r="D34"/>
  <c r="Q34" s="1"/>
  <c r="Z33"/>
  <c r="R33"/>
  <c r="Q33"/>
  <c r="P33"/>
  <c r="H33"/>
  <c r="G33"/>
  <c r="AA32"/>
  <c r="Z32"/>
  <c r="R32"/>
  <c r="Q32"/>
  <c r="P32"/>
  <c r="H32"/>
  <c r="G32"/>
  <c r="AA31"/>
  <c r="Z31"/>
  <c r="AA35" s="1"/>
  <c r="R31"/>
  <c r="Q31"/>
  <c r="J31" s="1"/>
  <c r="P31"/>
  <c r="H31"/>
  <c r="G31"/>
  <c r="R30"/>
  <c r="Q30"/>
  <c r="J30" s="1"/>
  <c r="P30"/>
  <c r="H30"/>
  <c r="G30"/>
  <c r="F30"/>
  <c r="R29"/>
  <c r="Q29"/>
  <c r="P29"/>
  <c r="H29"/>
  <c r="G29"/>
  <c r="F29"/>
  <c r="R28"/>
  <c r="Q28"/>
  <c r="P28"/>
  <c r="H28"/>
  <c r="G28"/>
  <c r="F28"/>
  <c r="R27"/>
  <c r="Q27"/>
  <c r="P27"/>
  <c r="H27"/>
  <c r="G27"/>
  <c r="F27"/>
  <c r="R26"/>
  <c r="Q26"/>
  <c r="P26"/>
  <c r="H26"/>
  <c r="G26"/>
  <c r="F26"/>
  <c r="R25"/>
  <c r="Q25"/>
  <c r="P25"/>
  <c r="H25"/>
  <c r="G25"/>
  <c r="F25"/>
  <c r="R24"/>
  <c r="Q24"/>
  <c r="P24"/>
  <c r="H24"/>
  <c r="G24"/>
  <c r="F24"/>
  <c r="R23"/>
  <c r="Q23"/>
  <c r="P23"/>
  <c r="J23"/>
  <c r="X23" s="1"/>
  <c r="H23"/>
  <c r="G23"/>
  <c r="F23"/>
  <c r="R22"/>
  <c r="Q22"/>
  <c r="P22"/>
  <c r="J22"/>
  <c r="X22" s="1"/>
  <c r="H22"/>
  <c r="G22"/>
  <c r="F22"/>
  <c r="R21"/>
  <c r="Q21"/>
  <c r="P21"/>
  <c r="H21"/>
  <c r="G21"/>
  <c r="F21"/>
  <c r="R20"/>
  <c r="Q20"/>
  <c r="P20"/>
  <c r="H20"/>
  <c r="G20"/>
  <c r="F20"/>
  <c r="R19"/>
  <c r="Q19"/>
  <c r="P19"/>
  <c r="H19"/>
  <c r="G19"/>
  <c r="F19"/>
  <c r="R18"/>
  <c r="Q18"/>
  <c r="P18"/>
  <c r="H18"/>
  <c r="G18"/>
  <c r="F18"/>
  <c r="R17"/>
  <c r="Q17"/>
  <c r="P17"/>
  <c r="J17"/>
  <c r="X17" s="1"/>
  <c r="H17"/>
  <c r="G17"/>
  <c r="F17"/>
  <c r="R16"/>
  <c r="Q16"/>
  <c r="P16"/>
  <c r="J16"/>
  <c r="X16" s="1"/>
  <c r="H16"/>
  <c r="G16"/>
  <c r="F16"/>
  <c r="R15"/>
  <c r="Q15"/>
  <c r="P15"/>
  <c r="H15"/>
  <c r="G15"/>
  <c r="F15"/>
  <c r="R14"/>
  <c r="Q14"/>
  <c r="P14"/>
  <c r="H14"/>
  <c r="G14"/>
  <c r="F14"/>
  <c r="R13"/>
  <c r="Q13"/>
  <c r="P13"/>
  <c r="J13"/>
  <c r="X13" s="1"/>
  <c r="H13"/>
  <c r="G13"/>
  <c r="F13"/>
  <c r="R12"/>
  <c r="Q12"/>
  <c r="P12"/>
  <c r="H12"/>
  <c r="G12"/>
  <c r="F12"/>
  <c r="R11"/>
  <c r="Q11"/>
  <c r="P11"/>
  <c r="H11"/>
  <c r="G11"/>
  <c r="F11"/>
  <c r="R10"/>
  <c r="Q10"/>
  <c r="P10"/>
  <c r="H10"/>
  <c r="G10"/>
  <c r="R9"/>
  <c r="Q9"/>
  <c r="J9" s="1"/>
  <c r="P9"/>
  <c r="H9"/>
  <c r="G9"/>
  <c r="R8"/>
  <c r="Q8"/>
  <c r="J8" s="1"/>
  <c r="P8"/>
  <c r="I8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H8"/>
  <c r="G8"/>
  <c r="AF7"/>
  <c r="AC7"/>
  <c r="AG7" s="1"/>
  <c r="AB7"/>
  <c r="W7"/>
  <c r="V7"/>
  <c r="F7"/>
  <c r="E7"/>
  <c r="D7"/>
  <c r="N7" s="1"/>
  <c r="O7" s="1"/>
  <c r="C7"/>
  <c r="B7"/>
  <c r="F1"/>
  <c r="X8" l="1"/>
  <c r="S8"/>
  <c r="X31"/>
  <c r="J37"/>
  <c r="F37"/>
  <c r="X9"/>
  <c r="S9"/>
  <c r="X30"/>
  <c r="F34"/>
  <c r="J35"/>
  <c r="F35"/>
  <c r="F36"/>
  <c r="F38"/>
  <c r="F31"/>
  <c r="F32"/>
  <c r="F33"/>
  <c r="AA34"/>
  <c r="F8"/>
  <c r="U8" s="1"/>
  <c r="U9" s="1"/>
  <c r="F9"/>
  <c r="F10"/>
  <c r="J10" s="1"/>
  <c r="AA33"/>
  <c r="J32" l="1"/>
  <c r="S32" s="1"/>
  <c r="J33"/>
  <c r="X32"/>
  <c r="X10"/>
  <c r="S10"/>
  <c r="X33"/>
  <c r="S33"/>
  <c r="U10"/>
  <c r="U11" s="1"/>
  <c r="U12" s="1"/>
  <c r="U13" s="1"/>
  <c r="J29"/>
  <c r="J27"/>
  <c r="J25"/>
  <c r="J21"/>
  <c r="J19"/>
  <c r="J15"/>
  <c r="T10"/>
  <c r="J11"/>
  <c r="X35"/>
  <c r="X37"/>
  <c r="J28"/>
  <c r="J26"/>
  <c r="J24"/>
  <c r="J20"/>
  <c r="J18"/>
  <c r="J14"/>
  <c r="J38"/>
  <c r="J36"/>
  <c r="J34"/>
  <c r="J12"/>
  <c r="X12" l="1"/>
  <c r="S12"/>
  <c r="X36"/>
  <c r="S36"/>
  <c r="X14"/>
  <c r="S14"/>
  <c r="X20"/>
  <c r="S20"/>
  <c r="X26"/>
  <c r="S26"/>
  <c r="X11"/>
  <c r="S11"/>
  <c r="X15"/>
  <c r="S15"/>
  <c r="X21"/>
  <c r="S21"/>
  <c r="X27"/>
  <c r="S27"/>
  <c r="S35"/>
  <c r="U14"/>
  <c r="U15" s="1"/>
  <c r="U16" s="1"/>
  <c r="U17" s="1"/>
  <c r="U18" s="1"/>
  <c r="U19" s="1"/>
  <c r="U20" s="1"/>
  <c r="U21" s="1"/>
  <c r="U22" s="1"/>
  <c r="U23" s="1"/>
  <c r="U24" s="1"/>
  <c r="U25" s="1"/>
  <c r="U26" s="1"/>
  <c r="U27" s="1"/>
  <c r="U28" s="1"/>
  <c r="U29" s="1"/>
  <c r="U30" s="1"/>
  <c r="U31" s="1"/>
  <c r="U32" s="1"/>
  <c r="U33" s="1"/>
  <c r="U34" s="1"/>
  <c r="U35" s="1"/>
  <c r="U36" s="1"/>
  <c r="U37" s="1"/>
  <c r="U38" s="1"/>
  <c r="U39" s="1"/>
  <c r="S23"/>
  <c r="S17"/>
  <c r="S13"/>
  <c r="S39"/>
  <c r="S31"/>
  <c r="X34"/>
  <c r="S34"/>
  <c r="L34"/>
  <c r="X38"/>
  <c r="S38"/>
  <c r="X18"/>
  <c r="S18"/>
  <c r="X24"/>
  <c r="S24"/>
  <c r="X28"/>
  <c r="S28"/>
  <c r="L28"/>
  <c r="X19"/>
  <c r="S19"/>
  <c r="X25"/>
  <c r="S25"/>
  <c r="X29"/>
  <c r="S29"/>
  <c r="S37"/>
  <c r="S22"/>
  <c r="S16"/>
  <c r="M7"/>
  <c r="L12" s="1"/>
  <c r="S30"/>
  <c r="L25" l="1"/>
  <c r="L18"/>
  <c r="L27"/>
  <c r="L15"/>
  <c r="L26"/>
  <c r="L14"/>
  <c r="L8"/>
  <c r="L9"/>
  <c r="L13"/>
  <c r="L16"/>
  <c r="L17"/>
  <c r="L22"/>
  <c r="L23"/>
  <c r="L31"/>
  <c r="L30"/>
  <c r="L39"/>
  <c r="L10"/>
  <c r="L33"/>
  <c r="L35"/>
  <c r="L32"/>
  <c r="L37"/>
  <c r="L29"/>
  <c r="L19"/>
  <c r="L24"/>
  <c r="L38"/>
  <c r="L21"/>
  <c r="L11"/>
  <c r="L20"/>
  <c r="L36"/>
</calcChain>
</file>

<file path=xl/sharedStrings.xml><?xml version="1.0" encoding="utf-8"?>
<sst xmlns="http://schemas.openxmlformats.org/spreadsheetml/2006/main" count="40" uniqueCount="36">
  <si>
    <r>
      <t>F</t>
    </r>
    <r>
      <rPr>
        <b/>
        <sz val="14"/>
        <rFont val="Arial"/>
        <family val="2"/>
      </rPr>
      <t xml:space="preserve">ICHE </t>
    </r>
    <r>
      <rPr>
        <b/>
        <sz val="16"/>
        <color indexed="10"/>
        <rFont val="Arial"/>
        <family val="2"/>
      </rPr>
      <t>S</t>
    </r>
    <r>
      <rPr>
        <b/>
        <sz val="14"/>
        <rFont val="Arial"/>
        <family val="2"/>
      </rPr>
      <t xml:space="preserve">IGNALETIQUE DES </t>
    </r>
    <r>
      <rPr>
        <b/>
        <sz val="16"/>
        <color indexed="10"/>
        <rFont val="Arial"/>
        <family val="2"/>
      </rPr>
      <t>P</t>
    </r>
    <r>
      <rPr>
        <b/>
        <sz val="14"/>
        <rFont val="Arial"/>
        <family val="2"/>
      </rPr>
      <t>ROJETS</t>
    </r>
    <r>
      <rPr>
        <b/>
        <sz val="18"/>
        <color indexed="10"/>
        <rFont val="Arial"/>
        <family val="2"/>
      </rPr>
      <t xml:space="preserve"> EN COURS</t>
    </r>
  </si>
  <si>
    <t>TVA</t>
  </si>
  <si>
    <t>n°</t>
  </si>
  <si>
    <t xml:space="preserve">DATE     </t>
  </si>
  <si>
    <r>
      <t xml:space="preserve">planning  </t>
    </r>
    <r>
      <rPr>
        <sz val="8"/>
        <color indexed="10"/>
        <rFont val="Arial"/>
        <family val="2"/>
      </rPr>
      <t>cumule</t>
    </r>
  </si>
  <si>
    <r>
      <t xml:space="preserve">TOTAL TRAVAUX  </t>
    </r>
    <r>
      <rPr>
        <sz val="6"/>
        <color indexed="10"/>
        <rFont val="Arial"/>
        <family val="2"/>
      </rPr>
      <t>début w</t>
    </r>
  </si>
  <si>
    <t>TOTAL APPROS</t>
  </si>
  <si>
    <r>
      <t>DATE</t>
    </r>
    <r>
      <rPr>
        <sz val="6"/>
        <color indexed="8"/>
        <rFont val="Arial"/>
        <family val="2"/>
      </rPr>
      <t xml:space="preserve">      </t>
    </r>
    <r>
      <rPr>
        <sz val="6"/>
        <color indexed="10"/>
        <rFont val="Arial"/>
        <family val="2"/>
      </rPr>
      <t>montant du marche</t>
    </r>
  </si>
  <si>
    <t>OPÉRATIONS</t>
  </si>
  <si>
    <t>ENTREPRISE</t>
  </si>
  <si>
    <t>Travaux de</t>
  </si>
  <si>
    <t>N°  DP</t>
  </si>
  <si>
    <t>retenue de garantie</t>
  </si>
  <si>
    <t>a</t>
  </si>
  <si>
    <t>max dp</t>
  </si>
  <si>
    <t>max réalise</t>
  </si>
  <si>
    <t>réalisation dernier  dp</t>
  </si>
  <si>
    <t>prévision mensuelle</t>
  </si>
  <si>
    <t>réalisation mensuelle</t>
  </si>
  <si>
    <t>Nb jours du DP</t>
  </si>
  <si>
    <t>début des W</t>
  </si>
  <si>
    <t>fin contractuelle</t>
  </si>
  <si>
    <t>montant engage</t>
  </si>
  <si>
    <t>programme</t>
  </si>
  <si>
    <t>prévision budget</t>
  </si>
  <si>
    <t>Ordre de sortie</t>
  </si>
  <si>
    <t>Nbr jours</t>
  </si>
  <si>
    <t>ddébut</t>
  </si>
  <si>
    <t>dfin</t>
  </si>
  <si>
    <t>nbj délai</t>
  </si>
  <si>
    <t>nbj après délai</t>
  </si>
  <si>
    <t>Genie Civil</t>
  </si>
  <si>
    <t>#</t>
  </si>
  <si>
    <t>1999//3700</t>
  </si>
  <si>
    <t>Hammamet 80 logts</t>
  </si>
  <si>
    <t>Entreprise MMTB</t>
  </si>
</sst>
</file>

<file path=xl/styles.xml><?xml version="1.0" encoding="utf-8"?>
<styleSheet xmlns="http://schemas.openxmlformats.org/spreadsheetml/2006/main">
  <numFmts count="5">
    <numFmt numFmtId="164" formatCode="d\ mmmm\ yyyy"/>
    <numFmt numFmtId="165" formatCode="#,##0.000"/>
    <numFmt numFmtId="166" formatCode="#,##0;[Red]#,##0"/>
    <numFmt numFmtId="167" formatCode="dd/mm/yy;@"/>
    <numFmt numFmtId="168" formatCode="d\-mmm\-yy"/>
  </numFmts>
  <fonts count="27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name val="Book Antiqua"/>
      <family val="1"/>
    </font>
    <font>
      <b/>
      <sz val="11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0"/>
      <color indexed="9"/>
      <name val="Arial"/>
      <family val="2"/>
    </font>
    <font>
      <b/>
      <sz val="16"/>
      <color indexed="10"/>
      <name val="Arial"/>
      <family val="2"/>
    </font>
    <font>
      <b/>
      <sz val="14"/>
      <name val="Arial"/>
      <family val="2"/>
    </font>
    <font>
      <b/>
      <sz val="18"/>
      <color indexed="10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sz val="8"/>
      <color indexed="10"/>
      <name val="Arial"/>
      <family val="2"/>
    </font>
    <font>
      <sz val="6"/>
      <color indexed="10"/>
      <name val="Arial"/>
      <family val="2"/>
    </font>
    <font>
      <sz val="6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8"/>
      <color indexed="10"/>
      <name val="Arial"/>
      <family val="2"/>
    </font>
    <font>
      <b/>
      <u/>
      <sz val="8"/>
      <color indexed="8"/>
      <name val="Times New Roman"/>
      <family val="1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19"/>
      <name val="Arial"/>
      <family val="2"/>
    </font>
    <font>
      <sz val="8"/>
      <name val="Times New Roman"/>
      <family val="1"/>
    </font>
    <font>
      <sz val="7"/>
      <color indexed="19"/>
      <name val="Arial"/>
      <family val="2"/>
    </font>
    <font>
      <sz val="7"/>
      <color indexed="1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3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Font="0" applyBorder="0">
      <alignment horizontal="centerContinuous"/>
    </xf>
  </cellStyleXfs>
  <cellXfs count="85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164" fontId="3" fillId="2" borderId="0" xfId="1" applyNumberFormat="1" applyFont="1" applyFill="1" applyBorder="1" applyAlignment="1">
      <alignment horizontal="center"/>
    </xf>
    <xf numFmtId="0" fontId="4" fillId="2" borderId="0" xfId="1" applyFont="1" applyFill="1" applyAlignment="1"/>
    <xf numFmtId="0" fontId="4" fillId="2" borderId="0" xfId="1" applyFont="1" applyFill="1" applyAlignment="1">
      <alignment horizontal="centerContinuous"/>
    </xf>
    <xf numFmtId="0" fontId="4" fillId="2" borderId="0" xfId="1" applyFont="1" applyFill="1" applyAlignment="1">
      <alignment horizontal="center" vertical="center"/>
    </xf>
    <xf numFmtId="165" fontId="0" fillId="0" borderId="0" xfId="0" applyNumberFormat="1" applyAlignment="1"/>
    <xf numFmtId="165" fontId="1" fillId="0" borderId="0" xfId="0" applyNumberFormat="1" applyFont="1" applyAlignme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" fontId="6" fillId="0" borderId="0" xfId="0" applyNumberFormat="1" applyFont="1" applyAlignment="1"/>
    <xf numFmtId="166" fontId="0" fillId="0" borderId="0" xfId="0" applyNumberFormat="1" applyAlignment="1"/>
    <xf numFmtId="0" fontId="4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Continuous"/>
    </xf>
    <xf numFmtId="0" fontId="8" fillId="2" borderId="0" xfId="1" applyFont="1" applyFill="1" applyAlignment="1">
      <alignment horizontal="centerContinuous"/>
    </xf>
    <xf numFmtId="0" fontId="8" fillId="2" borderId="0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165" fontId="10" fillId="0" borderId="5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0" fillId="0" borderId="5" xfId="0" applyBorder="1"/>
    <xf numFmtId="1" fontId="4" fillId="0" borderId="5" xfId="1" applyNumberFormat="1" applyFont="1" applyFill="1" applyBorder="1" applyAlignment="1">
      <alignment horizontal="center" vertical="center" wrapText="1"/>
    </xf>
    <xf numFmtId="166" fontId="11" fillId="0" borderId="5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165" fontId="1" fillId="5" borderId="6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165" fontId="17" fillId="6" borderId="5" xfId="1" applyNumberFormat="1" applyFont="1" applyFill="1" applyBorder="1" applyAlignment="1">
      <alignment horizontal="center" vertical="center" wrapText="1"/>
    </xf>
    <xf numFmtId="0" fontId="18" fillId="7" borderId="5" xfId="1" applyFont="1" applyFill="1" applyBorder="1" applyAlignment="1">
      <alignment horizontal="center" vertical="center" wrapText="1"/>
    </xf>
    <xf numFmtId="0" fontId="19" fillId="8" borderId="5" xfId="1" applyFont="1" applyFill="1" applyBorder="1" applyAlignment="1">
      <alignment horizontal="center" vertical="center" wrapText="1"/>
    </xf>
    <xf numFmtId="0" fontId="19" fillId="9" borderId="5" xfId="1" applyFont="1" applyFill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165" fontId="20" fillId="2" borderId="5" xfId="1" applyNumberFormat="1" applyFont="1" applyFill="1" applyBorder="1" applyAlignment="1">
      <alignment horizontal="center" vertical="center" wrapText="1"/>
    </xf>
    <xf numFmtId="165" fontId="20" fillId="2" borderId="7" xfId="1" applyNumberFormat="1" applyFont="1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165" fontId="0" fillId="10" borderId="5" xfId="0" applyNumberFormat="1" applyFill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5" fontId="21" fillId="0" borderId="5" xfId="0" applyNumberFormat="1" applyFont="1" applyBorder="1" applyAlignment="1">
      <alignment horizontal="center" vertical="center" wrapText="1"/>
    </xf>
    <xf numFmtId="15" fontId="12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6" fontId="0" fillId="0" borderId="5" xfId="0" applyNumberForma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/>
    </xf>
    <xf numFmtId="165" fontId="1" fillId="0" borderId="5" xfId="0" applyNumberFormat="1" applyFont="1" applyBorder="1"/>
    <xf numFmtId="165" fontId="20" fillId="3" borderId="5" xfId="1" applyNumberFormat="1" applyFont="1" applyFill="1" applyBorder="1" applyAlignment="1"/>
    <xf numFmtId="168" fontId="20" fillId="0" borderId="5" xfId="1" applyNumberFormat="1" applyFont="1" applyBorder="1" applyAlignment="1">
      <alignment horizontal="center"/>
    </xf>
    <xf numFmtId="0" fontId="22" fillId="2" borderId="8" xfId="1" applyFont="1" applyFill="1" applyBorder="1" applyAlignment="1">
      <alignment horizontal="left"/>
    </xf>
    <xf numFmtId="0" fontId="19" fillId="0" borderId="5" xfId="1" applyFont="1" applyBorder="1" applyAlignment="1"/>
    <xf numFmtId="0" fontId="20" fillId="0" borderId="5" xfId="1" applyFont="1" applyBorder="1" applyAlignment="1">
      <alignment horizontal="center"/>
    </xf>
    <xf numFmtId="165" fontId="20" fillId="2" borderId="5" xfId="1" applyNumberFormat="1" applyFont="1" applyFill="1" applyBorder="1">
      <alignment horizontal="centerContinuous"/>
    </xf>
    <xf numFmtId="165" fontId="20" fillId="0" borderId="7" xfId="1" applyNumberFormat="1" applyFont="1" applyBorder="1" applyAlignment="1">
      <alignment horizontal="center" vertical="center"/>
    </xf>
    <xf numFmtId="165" fontId="0" fillId="0" borderId="5" xfId="0" applyNumberFormat="1" applyBorder="1"/>
    <xf numFmtId="165" fontId="1" fillId="0" borderId="5" xfId="0" quotePrefix="1" applyNumberFormat="1" applyFont="1" applyBorder="1"/>
    <xf numFmtId="165" fontId="1" fillId="0" borderId="0" xfId="0" quotePrefix="1" applyNumberFormat="1" applyFont="1" applyBorder="1"/>
    <xf numFmtId="0" fontId="23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1" fontId="0" fillId="0" borderId="5" xfId="0" applyNumberFormat="1" applyBorder="1"/>
    <xf numFmtId="1" fontId="6" fillId="0" borderId="5" xfId="0" applyNumberFormat="1" applyFont="1" applyBorder="1"/>
    <xf numFmtId="165" fontId="20" fillId="3" borderId="6" xfId="1" applyNumberFormat="1" applyFont="1" applyFill="1" applyBorder="1" applyAlignment="1"/>
    <xf numFmtId="165" fontId="20" fillId="3" borderId="5" xfId="1" applyNumberFormat="1" applyFont="1" applyFill="1" applyBorder="1">
      <alignment horizontal="centerContinuous"/>
    </xf>
    <xf numFmtId="165" fontId="20" fillId="0" borderId="5" xfId="1" applyNumberFormat="1" applyFont="1" applyBorder="1" applyAlignment="1">
      <alignment horizontal="centerContinuous"/>
    </xf>
    <xf numFmtId="0" fontId="1" fillId="0" borderId="5" xfId="0" applyFont="1" applyBorder="1"/>
    <xf numFmtId="3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5" fontId="20" fillId="0" borderId="7" xfId="1" applyNumberFormat="1" applyFont="1" applyBorder="1" applyAlignment="1">
      <alignment horizontal="centerContinuous"/>
    </xf>
    <xf numFmtId="0" fontId="25" fillId="11" borderId="0" xfId="0" applyFont="1" applyFill="1" applyAlignment="1"/>
    <xf numFmtId="0" fontId="26" fillId="11" borderId="0" xfId="0" applyFont="1" applyFill="1" applyAlignment="1">
      <alignment horizontal="center" vertical="center"/>
    </xf>
    <xf numFmtId="0" fontId="1" fillId="11" borderId="5" xfId="0" applyFont="1" applyFill="1" applyBorder="1" applyAlignment="1">
      <alignment horizontal="center" vertical="center" wrapText="1"/>
    </xf>
    <xf numFmtId="0" fontId="0" fillId="11" borderId="0" xfId="0" applyFill="1"/>
  </cellXfs>
  <cellStyles count="2">
    <cellStyle name="Normal" xfId="0" builtinId="0"/>
    <cellStyle name="Normal_Feuil1" xfId="1"/>
  </cellStyles>
  <dxfs count="44"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b/>
        <i val="0"/>
        <strike val="0"/>
        <condense val="0"/>
        <extend val="0"/>
        <u/>
        <color auto="1"/>
      </font>
    </dxf>
    <dxf>
      <font>
        <b/>
        <i/>
        <strike val="0"/>
        <condense val="0"/>
        <extend val="0"/>
        <u/>
        <color indexed="10"/>
      </font>
      <fill>
        <patternFill>
          <bgColor indexed="22"/>
        </patternFill>
      </fill>
    </dxf>
    <dxf>
      <font>
        <b/>
        <i val="0"/>
        <strike val="0"/>
        <condense val="0"/>
        <extend val="0"/>
        <u/>
        <color auto="1"/>
      </font>
    </dxf>
    <dxf>
      <font>
        <b/>
        <i/>
        <strike val="0"/>
        <condense val="0"/>
        <extend val="0"/>
        <u/>
        <color indexed="10"/>
      </font>
      <fill>
        <patternFill>
          <bgColor indexed="22"/>
        </patternFill>
      </fill>
    </dxf>
    <dxf>
      <font>
        <condense val="0"/>
        <extend val="0"/>
        <color indexed="52"/>
      </font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52"/>
      </font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b/>
        <i val="0"/>
        <strike val="0"/>
        <condense val="0"/>
        <extend val="0"/>
        <u/>
        <color auto="1"/>
      </font>
    </dxf>
    <dxf>
      <font>
        <b/>
        <i/>
        <strike val="0"/>
        <condense val="0"/>
        <extend val="0"/>
        <u/>
        <color indexed="10"/>
      </font>
      <fill>
        <patternFill>
          <bgColor indexed="22"/>
        </patternFill>
      </fill>
    </dxf>
    <dxf>
      <font>
        <condense val="0"/>
        <extend val="0"/>
        <color indexed="52"/>
      </font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b/>
        <i val="0"/>
        <strike val="0"/>
        <condense val="0"/>
        <extend val="0"/>
        <u/>
        <color auto="1"/>
      </font>
    </dxf>
    <dxf>
      <font>
        <b/>
        <i/>
        <strike val="0"/>
        <condense val="0"/>
        <extend val="0"/>
        <u/>
        <color indexed="10"/>
      </font>
      <fill>
        <patternFill>
          <bgColor indexed="22"/>
        </patternFill>
      </fill>
    </dxf>
    <dxf>
      <font>
        <condense val="0"/>
        <extend val="0"/>
        <color indexed="52"/>
      </font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SPP201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 Planning"/>
      <sheetName val="Feuil2"/>
      <sheetName val="Feuil3"/>
    </sheetNames>
    <sheetDataSet>
      <sheetData sheetId="0"/>
      <sheetData sheetId="1">
        <row r="9">
          <cell r="D9">
            <v>8157289.5432000002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44"/>
  <sheetViews>
    <sheetView tabSelected="1" topLeftCell="I1" workbookViewId="0">
      <selection activeCell="R8" sqref="R8"/>
    </sheetView>
  </sheetViews>
  <sheetFormatPr baseColWidth="10" defaultRowHeight="15"/>
  <cols>
    <col min="1" max="1" width="3" bestFit="1" customWidth="1"/>
    <col min="4" max="4" width="11.28515625" bestFit="1" customWidth="1"/>
    <col min="6" max="6" width="15.28515625" bestFit="1" customWidth="1"/>
    <col min="7" max="7" width="23.7109375" bestFit="1" customWidth="1"/>
    <col min="8" max="8" width="13" bestFit="1" customWidth="1"/>
    <col min="9" max="9" width="11.7109375" bestFit="1" customWidth="1"/>
    <col min="14" max="14" width="13.5703125" bestFit="1" customWidth="1"/>
    <col min="24" max="24" width="13.140625" bestFit="1" customWidth="1"/>
    <col min="27" max="27" width="13.42578125" bestFit="1" customWidth="1"/>
  </cols>
  <sheetData>
    <row r="1" spans="1:33" s="1" customFormat="1">
      <c r="B1" s="2"/>
      <c r="C1" s="3"/>
      <c r="D1" s="3"/>
      <c r="E1" s="3"/>
      <c r="F1" s="4">
        <f ca="1">TODAY()</f>
        <v>40742</v>
      </c>
      <c r="H1" s="5"/>
      <c r="I1" s="5"/>
      <c r="J1" s="6"/>
      <c r="K1" s="6"/>
      <c r="L1" s="7"/>
      <c r="N1" s="8"/>
      <c r="O1" s="9"/>
      <c r="P1" s="3"/>
      <c r="Q1" s="3"/>
      <c r="R1" s="3"/>
      <c r="S1" s="3"/>
      <c r="T1" s="3"/>
      <c r="U1" s="81"/>
      <c r="V1" s="10"/>
      <c r="W1" s="10"/>
      <c r="AC1" s="11"/>
      <c r="AD1" s="12"/>
      <c r="AG1" s="13"/>
    </row>
    <row r="2" spans="1:33" s="1" customFormat="1">
      <c r="B2" s="2"/>
      <c r="C2" s="3"/>
      <c r="D2" s="3"/>
      <c r="E2" s="3"/>
      <c r="F2" s="14"/>
      <c r="G2" s="6"/>
      <c r="H2" s="5"/>
      <c r="I2" s="5"/>
      <c r="J2" s="6"/>
      <c r="K2" s="6"/>
      <c r="L2" s="7"/>
      <c r="N2" s="8"/>
      <c r="O2" s="9"/>
      <c r="P2" s="3"/>
      <c r="Q2" s="3"/>
      <c r="R2" s="3"/>
      <c r="S2" s="3"/>
      <c r="T2" s="3"/>
      <c r="U2" s="81"/>
      <c r="V2" s="10"/>
      <c r="W2" s="10"/>
      <c r="AC2" s="11"/>
      <c r="AD2" s="12"/>
      <c r="AG2" s="13"/>
    </row>
    <row r="3" spans="1:33" s="1" customFormat="1" ht="23.25">
      <c r="B3" s="2"/>
      <c r="C3" s="3"/>
      <c r="D3" s="3"/>
      <c r="E3" s="3"/>
      <c r="F3" s="15" t="s">
        <v>0</v>
      </c>
      <c r="H3" s="5"/>
      <c r="I3" s="5"/>
      <c r="K3" s="16"/>
      <c r="L3" s="17"/>
      <c r="N3" s="8"/>
      <c r="O3" s="9"/>
      <c r="P3" s="3"/>
      <c r="Q3" s="18" t="s">
        <v>1</v>
      </c>
      <c r="R3" s="18"/>
      <c r="S3" s="18"/>
      <c r="T3" s="18"/>
      <c r="U3" s="82"/>
      <c r="V3" s="19">
        <v>0.18</v>
      </c>
      <c r="W3" s="10"/>
      <c r="AC3" s="11"/>
      <c r="AD3" s="12"/>
      <c r="AG3" s="13"/>
    </row>
    <row r="4" spans="1:33" s="1" customFormat="1" ht="20.25">
      <c r="B4" s="2"/>
      <c r="C4" s="3"/>
      <c r="D4" s="3"/>
      <c r="E4" s="3"/>
      <c r="F4" s="14"/>
      <c r="G4" s="6"/>
      <c r="H4" s="5"/>
      <c r="I4" s="5"/>
      <c r="J4" s="15"/>
      <c r="K4" s="16"/>
      <c r="L4" s="17"/>
      <c r="N4" s="8"/>
      <c r="O4" s="9"/>
      <c r="P4" s="3"/>
      <c r="Q4" s="3"/>
      <c r="R4" s="3"/>
      <c r="S4" s="3"/>
      <c r="T4" s="3"/>
      <c r="U4" s="81"/>
      <c r="V4" s="10"/>
      <c r="W4" s="10"/>
      <c r="AC4" s="11"/>
      <c r="AD4" s="12"/>
      <c r="AG4" s="13"/>
    </row>
    <row r="5" spans="1:33" s="1" customFormat="1">
      <c r="B5" s="2"/>
      <c r="C5" s="3"/>
      <c r="D5" s="3"/>
      <c r="E5" s="3"/>
      <c r="F5" s="14"/>
      <c r="G5" s="6"/>
      <c r="H5" s="5"/>
      <c r="I5" s="5"/>
      <c r="J5" s="6"/>
      <c r="K5" s="6"/>
      <c r="L5" s="7"/>
      <c r="N5" s="8"/>
      <c r="O5" s="3"/>
      <c r="P5" s="3"/>
      <c r="Q5" s="3"/>
      <c r="R5" s="3"/>
      <c r="S5" s="3"/>
      <c r="T5" s="3"/>
      <c r="U5" s="81"/>
      <c r="V5" s="10"/>
      <c r="W5" s="10"/>
      <c r="AD5" s="12"/>
    </row>
    <row r="6" spans="1:33" ht="36.75">
      <c r="A6" s="20" t="s">
        <v>2</v>
      </c>
      <c r="B6" s="21" t="s">
        <v>3</v>
      </c>
      <c r="C6" s="22" t="s">
        <v>4</v>
      </c>
      <c r="D6" s="23" t="s">
        <v>5</v>
      </c>
      <c r="E6" s="23" t="s">
        <v>6</v>
      </c>
      <c r="F6" s="20" t="s">
        <v>7</v>
      </c>
      <c r="G6" s="20" t="s">
        <v>8</v>
      </c>
      <c r="H6" s="24" t="s">
        <v>9</v>
      </c>
      <c r="I6" s="20" t="s">
        <v>10</v>
      </c>
      <c r="J6" s="25" t="s">
        <v>11</v>
      </c>
      <c r="K6" s="20" t="s">
        <v>12</v>
      </c>
      <c r="L6" s="26" t="s">
        <v>13</v>
      </c>
      <c r="M6" s="27" t="s">
        <v>14</v>
      </c>
      <c r="N6" s="28" t="s">
        <v>15</v>
      </c>
      <c r="O6" s="29" t="s">
        <v>16</v>
      </c>
      <c r="P6" s="30" t="s">
        <v>17</v>
      </c>
      <c r="Q6" s="31" t="s">
        <v>18</v>
      </c>
      <c r="R6" s="31"/>
      <c r="S6" s="31"/>
      <c r="T6" s="31"/>
      <c r="U6" s="31" t="s">
        <v>19</v>
      </c>
      <c r="V6" s="32" t="s">
        <v>20</v>
      </c>
      <c r="W6" s="32" t="s">
        <v>21</v>
      </c>
      <c r="X6" s="32" t="s">
        <v>22</v>
      </c>
      <c r="Y6" s="32" t="s">
        <v>23</v>
      </c>
      <c r="Z6" s="33"/>
      <c r="AA6" s="32" t="s">
        <v>24</v>
      </c>
      <c r="AB6" s="32" t="s">
        <v>25</v>
      </c>
      <c r="AC6" s="32" t="s">
        <v>26</v>
      </c>
      <c r="AD6" s="34" t="s">
        <v>27</v>
      </c>
      <c r="AE6" s="32" t="s">
        <v>28</v>
      </c>
      <c r="AF6" s="32" t="s">
        <v>29</v>
      </c>
      <c r="AG6" s="35" t="s">
        <v>30</v>
      </c>
    </row>
    <row r="7" spans="1:33" s="36" customFormat="1" ht="123.75" customHeight="1">
      <c r="A7" s="36">
        <v>0</v>
      </c>
      <c r="B7" s="37" t="str">
        <f>CONCATENATE("Date ","W ",G7)</f>
        <v>Date W Hammamet 80 logts</v>
      </c>
      <c r="C7" s="38" t="str">
        <f>CONCATENATE("W ","Prevue ",G7," ***  entreprise ",H7,"  ***","debut   ",V7,"  fin    ",W7)</f>
        <v>W Prevue Hammamet 80 logts ***  entreprise Entreprise MMTB  ***debut   (1/5/2010)  fin    (31/12/2011)</v>
      </c>
      <c r="D7" s="39" t="str">
        <f>CONCATENATE("W ","realises ",G7,"*** Mt du  Marche ",F7," ***")</f>
        <v>W realises Hammamet 80 logts*** Mt du  Marche 8157289,5432 ***</v>
      </c>
      <c r="E7" s="40" t="str">
        <f>CONCATENATE("Appro ",G7,,,,,"***")</f>
        <v>Appro Hammamet 80 logts***</v>
      </c>
      <c r="F7" s="41">
        <f>[1]Feuil2!D9</f>
        <v>8157289.5432000002</v>
      </c>
      <c r="G7" s="42" t="s">
        <v>34</v>
      </c>
      <c r="H7" s="43" t="s">
        <v>35</v>
      </c>
      <c r="I7" s="44" t="s">
        <v>31</v>
      </c>
      <c r="J7" s="45">
        <v>0</v>
      </c>
      <c r="K7" s="46"/>
      <c r="L7" s="47" t="s">
        <v>32</v>
      </c>
      <c r="M7" s="48">
        <f>MAX(J7:J39)</f>
        <v>20</v>
      </c>
      <c r="N7" s="49">
        <f>MAX(D7:D39)</f>
        <v>2446669.2677599997</v>
      </c>
      <c r="O7" s="50">
        <f>INT(N7*1000)/1000</f>
        <v>2446669.267</v>
      </c>
      <c r="P7" s="51"/>
      <c r="Q7" s="51"/>
      <c r="R7" s="51"/>
      <c r="S7" s="51"/>
      <c r="T7" s="51"/>
      <c r="U7" s="83"/>
      <c r="V7" s="52" t="str">
        <f>CONCATENATE("(",DAY(AD7),"/",MONTH(AD7),"/",YEAR(AD7),")")</f>
        <v>(1/5/2010)</v>
      </c>
      <c r="W7" s="53" t="str">
        <f>CONCATENATE("(",DAY(AE7),"/",MONTH(AE7),"/",YEAR(AE7),")")</f>
        <v>(31/12/2011)</v>
      </c>
      <c r="X7" s="54"/>
      <c r="Y7" s="54"/>
      <c r="Z7" s="54"/>
      <c r="AA7" s="54"/>
      <c r="AB7" s="54">
        <f>RANK(AD7,AD7:AD794,0)</f>
        <v>1</v>
      </c>
      <c r="AC7" s="55">
        <f ca="1">TODAY()-AD7</f>
        <v>443</v>
      </c>
      <c r="AD7" s="56">
        <v>40299</v>
      </c>
      <c r="AE7" s="56">
        <v>40908</v>
      </c>
      <c r="AF7" s="55">
        <f>AE7-AD7</f>
        <v>609</v>
      </c>
      <c r="AG7" s="57" t="str">
        <f ca="1">IF(AC7&gt;AF7,-(AC7-AF7),"")</f>
        <v/>
      </c>
    </row>
    <row r="8" spans="1:33">
      <c r="A8" s="33">
        <v>1</v>
      </c>
      <c r="B8" s="58">
        <v>40299</v>
      </c>
      <c r="C8" s="59">
        <v>35621.235740000004</v>
      </c>
      <c r="D8" s="60">
        <v>0</v>
      </c>
      <c r="E8" s="60">
        <v>0</v>
      </c>
      <c r="F8" s="61" t="str">
        <f t="shared" ref="F8:F9" si="0">IF(Q8=0,"sans Dp",EOMONTH(B8,0))</f>
        <v>sans Dp</v>
      </c>
      <c r="G8" s="62" t="str">
        <f>$G$7</f>
        <v>Hammamet 80 logts</v>
      </c>
      <c r="H8" s="63" t="str">
        <f>$H$7</f>
        <v>Entreprise MMTB</v>
      </c>
      <c r="I8" s="63" t="str">
        <f t="shared" ref="I8:I39" si="1">I7</f>
        <v>Genie Civil</v>
      </c>
      <c r="J8" s="64" t="str">
        <f t="shared" ref="J8:J39" si="2">IF(Q8=0,"s",RANK(F8,$F$8:$F$39,1))</f>
        <v>s</v>
      </c>
      <c r="K8" s="65"/>
      <c r="L8" s="66" t="str">
        <f t="shared" ref="L8:L39" si="3">IF(J8=$M$7,"*", " " )</f>
        <v xml:space="preserve"> </v>
      </c>
      <c r="M8" s="33"/>
      <c r="N8" s="67"/>
      <c r="O8" s="59"/>
      <c r="P8" s="68">
        <f t="shared" ref="P8:P39" si="4">IF(OR(A7=0,A9=0,AND(C8&lt;=0)),C8,C8-C7)</f>
        <v>35621.235740000004</v>
      </c>
      <c r="Q8" s="68">
        <f t="shared" ref="Q8:Q39" si="5">IF(OR(A7=0,A9=0,AND(D8&lt;=0)),D8,D8-D7)</f>
        <v>0</v>
      </c>
      <c r="R8" s="69">
        <f>EOMONTH(B8,0)-B8+1</f>
        <v>31</v>
      </c>
      <c r="S8">
        <f>IF(J8="s",SUMPRODUCT(($J$8:J8="s")*1)*1,0)</f>
        <v>1</v>
      </c>
      <c r="U8" s="59">
        <f>IF(U7=0,(IF(COUNTIF(J6:J7,"s")=2,IFERROR(F8-B6+1,0),IF(COUNTIF(J6:J7,"s")=1,IFERROR(F8-B7+1,0),IF(COUNTIF(J6:J7,"s")=0,IFERROR(F8-B8+1,0),0)))),IFERROR(F8-B8+1,0))</f>
        <v>0</v>
      </c>
      <c r="V8" s="70"/>
      <c r="W8" s="71"/>
      <c r="X8" s="67">
        <f t="shared" ref="X8:X39" si="6">IF(N___DP="s",0,IF(N___DP=1,E8,IF(J8&gt;1,IF(J7=0,E8,E8-E7))))+Q8</f>
        <v>0</v>
      </c>
      <c r="Y8" s="67"/>
      <c r="Z8" s="33"/>
      <c r="AA8" s="33"/>
      <c r="AB8" s="33"/>
      <c r="AC8" s="72"/>
      <c r="AD8" s="73"/>
      <c r="AE8" s="33"/>
      <c r="AF8" s="33"/>
      <c r="AG8" s="33"/>
    </row>
    <row r="9" spans="1:33">
      <c r="A9" s="33">
        <v>2</v>
      </c>
      <c r="B9" s="58">
        <v>40330</v>
      </c>
      <c r="C9" s="59">
        <v>95995.358520000009</v>
      </c>
      <c r="D9" s="74">
        <v>0</v>
      </c>
      <c r="E9" s="74">
        <v>0</v>
      </c>
      <c r="F9" s="61" t="str">
        <f t="shared" si="0"/>
        <v>sans Dp</v>
      </c>
      <c r="G9" s="62" t="str">
        <f t="shared" ref="G9:G39" si="7">$G$7</f>
        <v>Hammamet 80 logts</v>
      </c>
      <c r="H9" s="63" t="str">
        <f t="shared" ref="H9:H39" si="8">$H$7</f>
        <v>Entreprise MMTB</v>
      </c>
      <c r="I9" s="63" t="str">
        <f t="shared" si="1"/>
        <v>Genie Civil</v>
      </c>
      <c r="J9" s="64" t="str">
        <f t="shared" si="2"/>
        <v>s</v>
      </c>
      <c r="K9" s="65"/>
      <c r="L9" s="66" t="str">
        <f t="shared" si="3"/>
        <v xml:space="preserve"> </v>
      </c>
      <c r="M9" s="33"/>
      <c r="N9" s="67"/>
      <c r="O9" s="59"/>
      <c r="P9" s="59">
        <f t="shared" si="4"/>
        <v>60374.122780000005</v>
      </c>
      <c r="Q9" s="68">
        <f t="shared" si="5"/>
        <v>0</v>
      </c>
      <c r="R9" s="69">
        <f t="shared" ref="R9:R39" si="9">EOMONTH(B9,0)-B9+1</f>
        <v>30</v>
      </c>
      <c r="S9">
        <f>IF(J9="s",SUMPRODUCT(($J$8:J9="s")*1)*1,0)</f>
        <v>2</v>
      </c>
      <c r="U9" s="59">
        <f>IF(U8=0,(IF(COUNTIF(J7:J8,"s")=2,IFERROR(F9-B7+1,0),IF(COUNTIF(J7:J8,"s")=1,IFERROR(F9-B8+1,0),IF(COUNTIF(J7:J8,"s")=0,IFERROR(F9-B9+1,0),0)))),IFERROR(F9-B9+1,0))</f>
        <v>0</v>
      </c>
      <c r="V9" s="70"/>
      <c r="W9" s="71"/>
      <c r="X9" s="67">
        <f t="shared" si="6"/>
        <v>0</v>
      </c>
      <c r="Y9" s="67"/>
      <c r="Z9" s="33"/>
      <c r="AA9" s="33"/>
      <c r="AB9" s="33"/>
      <c r="AC9" s="72"/>
      <c r="AD9" s="73"/>
      <c r="AE9" s="33"/>
      <c r="AF9" s="33"/>
      <c r="AG9" s="33"/>
    </row>
    <row r="10" spans="1:33">
      <c r="A10" s="33">
        <v>3</v>
      </c>
      <c r="B10" s="58">
        <v>40360</v>
      </c>
      <c r="C10" s="59">
        <v>205594.5263</v>
      </c>
      <c r="D10" s="60">
        <v>139877.66373999999</v>
      </c>
      <c r="E10" s="75">
        <v>24872.983999999997</v>
      </c>
      <c r="F10" s="61">
        <f>IF(Q10=0,"sans Dp",EOMONTH(B10,0))</f>
        <v>40390</v>
      </c>
      <c r="G10" s="62" t="str">
        <f t="shared" si="7"/>
        <v>Hammamet 80 logts</v>
      </c>
      <c r="H10" s="63" t="str">
        <f t="shared" si="8"/>
        <v>Entreprise MMTB</v>
      </c>
      <c r="I10" s="63" t="str">
        <f t="shared" si="1"/>
        <v>Genie Civil</v>
      </c>
      <c r="J10" s="64">
        <f t="shared" si="2"/>
        <v>1</v>
      </c>
      <c r="K10" s="76"/>
      <c r="L10" s="66" t="str">
        <f t="shared" si="3"/>
        <v xml:space="preserve"> </v>
      </c>
      <c r="M10" s="33"/>
      <c r="N10" s="67"/>
      <c r="O10" s="59"/>
      <c r="P10" s="59">
        <f t="shared" si="4"/>
        <v>109599.16777999999</v>
      </c>
      <c r="Q10" s="68">
        <f t="shared" si="5"/>
        <v>139877.66373999999</v>
      </c>
      <c r="R10" s="69">
        <f t="shared" si="9"/>
        <v>31</v>
      </c>
      <c r="S10">
        <f>IF(J10="s",SUMPRODUCT(($J$8:J10="s")*1)*1,0)</f>
        <v>0</v>
      </c>
      <c r="T10">
        <f ca="1">SUM(OFFSET(R10,S9,S10,S9))</f>
        <v>61</v>
      </c>
      <c r="U10" s="59">
        <f>IF(U9=0,(IF(COUNTIF(J8:J9,"s")=2,IFERROR(F10-B8+1,0),IF(COUNTIF(J8:J9,"s")=1,IFERROR(F10-B9+1,0),IF(COUNTIF(J8:J9,"s")=0,IFERROR(F10-B10+1,0),0)))),IFERROR(F10-B10+1,0))</f>
        <v>92</v>
      </c>
      <c r="V10" s="70"/>
      <c r="W10" s="71"/>
      <c r="X10" s="67">
        <f t="shared" si="6"/>
        <v>164750.64773999999</v>
      </c>
      <c r="Y10" s="67"/>
      <c r="Z10" s="33"/>
      <c r="AA10" s="33"/>
      <c r="AB10" s="33"/>
      <c r="AC10" s="72"/>
      <c r="AD10" s="73"/>
      <c r="AE10" s="33"/>
      <c r="AF10" s="33"/>
      <c r="AG10" s="33"/>
    </row>
    <row r="11" spans="1:33">
      <c r="A11" s="33">
        <v>4</v>
      </c>
      <c r="B11" s="58">
        <v>40391</v>
      </c>
      <c r="C11" s="59">
        <v>310926.29136838706</v>
      </c>
      <c r="D11" s="60">
        <v>245900.49853999997</v>
      </c>
      <c r="E11" s="75">
        <v>55382.12</v>
      </c>
      <c r="F11" s="61">
        <f t="shared" ref="F11:F39" si="10">IF(Q11=0,"sans Dp",EOMONTH(B11,0))</f>
        <v>40421</v>
      </c>
      <c r="G11" s="62" t="str">
        <f t="shared" si="7"/>
        <v>Hammamet 80 logts</v>
      </c>
      <c r="H11" s="63" t="str">
        <f t="shared" si="8"/>
        <v>Entreprise MMTB</v>
      </c>
      <c r="I11" s="63" t="str">
        <f t="shared" si="1"/>
        <v>Genie Civil</v>
      </c>
      <c r="J11" s="64">
        <f t="shared" si="2"/>
        <v>2</v>
      </c>
      <c r="K11" s="76"/>
      <c r="L11" s="66" t="str">
        <f t="shared" si="3"/>
        <v xml:space="preserve"> </v>
      </c>
      <c r="M11" s="33"/>
      <c r="N11" s="67"/>
      <c r="O11" s="59"/>
      <c r="P11" s="59">
        <f t="shared" si="4"/>
        <v>105331.76506838706</v>
      </c>
      <c r="Q11" s="68">
        <f t="shared" si="5"/>
        <v>106022.83479999998</v>
      </c>
      <c r="R11" s="69">
        <f t="shared" si="9"/>
        <v>31</v>
      </c>
      <c r="S11">
        <f>IF(J11="s",SUMPRODUCT(($J$8:J11="s")*1)*1,0)</f>
        <v>0</v>
      </c>
      <c r="U11" s="59">
        <f>IF(U10=0,(IF(COUNTIF(J9:J10,"s")=2,IFERROR(F11-B9+1,0),IF(COUNTIF(J9:J10,"s")=1,IFERROR(F11-B10+1,0),IF(COUNTIF(J9:J10,"s")=0,IFERROR(F11-B11+1,0),0)))),IFERROR(F11-B11+1,0))</f>
        <v>31</v>
      </c>
      <c r="V11" s="70"/>
      <c r="W11" s="71"/>
      <c r="X11" s="67">
        <f t="shared" si="6"/>
        <v>136531.97079999998</v>
      </c>
      <c r="Y11" s="67"/>
      <c r="Z11" s="33"/>
      <c r="AA11" s="33"/>
      <c r="AB11" s="33"/>
      <c r="AC11" s="72"/>
      <c r="AD11" s="73"/>
      <c r="AE11" s="33"/>
      <c r="AF11" s="33"/>
      <c r="AG11" s="33"/>
    </row>
    <row r="12" spans="1:33">
      <c r="A12" s="33">
        <v>5</v>
      </c>
      <c r="B12" s="58">
        <v>40422</v>
      </c>
      <c r="C12" s="59">
        <v>391085.50760677416</v>
      </c>
      <c r="D12" s="60">
        <v>335931.19689999998</v>
      </c>
      <c r="E12" s="75">
        <v>53268.975999999995</v>
      </c>
      <c r="F12" s="61">
        <f t="shared" si="10"/>
        <v>40451</v>
      </c>
      <c r="G12" s="62" t="str">
        <f t="shared" si="7"/>
        <v>Hammamet 80 logts</v>
      </c>
      <c r="H12" s="63" t="str">
        <f t="shared" si="8"/>
        <v>Entreprise MMTB</v>
      </c>
      <c r="I12" s="63" t="str">
        <f t="shared" si="1"/>
        <v>Genie Civil</v>
      </c>
      <c r="J12" s="64">
        <f t="shared" si="2"/>
        <v>3</v>
      </c>
      <c r="K12" s="76"/>
      <c r="L12" s="66" t="str">
        <f t="shared" si="3"/>
        <v xml:space="preserve"> </v>
      </c>
      <c r="M12" s="33"/>
      <c r="N12" s="67"/>
      <c r="O12" s="59"/>
      <c r="P12" s="59">
        <f t="shared" si="4"/>
        <v>80159.216238387104</v>
      </c>
      <c r="Q12" s="68">
        <f t="shared" si="5"/>
        <v>90030.698360000009</v>
      </c>
      <c r="R12" s="69">
        <f t="shared" si="9"/>
        <v>30</v>
      </c>
      <c r="S12">
        <f>IF(J12="s",SUMPRODUCT(($J$8:J12="s")*1)*1,0)</f>
        <v>0</v>
      </c>
      <c r="U12" s="59">
        <f>IF(U11=0,(IF(COUNTIF(J10:J11,"s")=2,IFERROR(F12-B10+1,0),IF(COUNTIF(J10:J11,"s")=1,IFERROR(F12-B11+1,0),IF(COUNTIF(J10:J11,"s")=0,IFERROR(F12-B12+1,0),0)))),IFERROR(F12-B12+1,0))</f>
        <v>30</v>
      </c>
      <c r="V12" s="70"/>
      <c r="W12" s="71"/>
      <c r="X12" s="67">
        <f t="shared" si="6"/>
        <v>87917.554360000009</v>
      </c>
      <c r="Y12" s="67"/>
      <c r="Z12" s="33"/>
      <c r="AA12" s="33"/>
      <c r="AB12" s="33"/>
      <c r="AC12" s="72"/>
      <c r="AD12" s="73"/>
      <c r="AE12" s="33"/>
      <c r="AF12" s="33"/>
      <c r="AG12" s="33"/>
    </row>
    <row r="13" spans="1:33">
      <c r="A13" s="33">
        <v>6</v>
      </c>
      <c r="B13" s="58">
        <v>40452</v>
      </c>
      <c r="C13" s="59">
        <v>497141.09993641125</v>
      </c>
      <c r="D13" s="60">
        <v>335931.19689999998</v>
      </c>
      <c r="E13" s="75">
        <v>53268.975999999995</v>
      </c>
      <c r="F13" s="61" t="str">
        <f t="shared" si="10"/>
        <v>sans Dp</v>
      </c>
      <c r="G13" s="62" t="str">
        <f t="shared" si="7"/>
        <v>Hammamet 80 logts</v>
      </c>
      <c r="H13" s="63" t="str">
        <f t="shared" si="8"/>
        <v>Entreprise MMTB</v>
      </c>
      <c r="I13" s="63" t="str">
        <f t="shared" si="1"/>
        <v>Genie Civil</v>
      </c>
      <c r="J13" s="64" t="str">
        <f t="shared" si="2"/>
        <v>s</v>
      </c>
      <c r="K13" s="76"/>
      <c r="L13" s="66" t="str">
        <f t="shared" si="3"/>
        <v xml:space="preserve"> </v>
      </c>
      <c r="M13" s="33"/>
      <c r="N13" s="67"/>
      <c r="O13" s="59"/>
      <c r="P13" s="59">
        <f t="shared" si="4"/>
        <v>106055.59232963709</v>
      </c>
      <c r="Q13" s="68">
        <f t="shared" si="5"/>
        <v>0</v>
      </c>
      <c r="R13" s="69">
        <f t="shared" si="9"/>
        <v>31</v>
      </c>
      <c r="S13">
        <f>IF(J13="s",SUMPRODUCT(($J$8:J13="s")*1)*1,0)</f>
        <v>3</v>
      </c>
      <c r="U13" s="59">
        <f>IF(U12=0,(IF(COUNTIF(J11:J12,"s")=2,IFERROR(F13-B11+1,0),IF(COUNTIF(J11:J12,"s")=1,IFERROR(F13-B12+1,0),IF(COUNTIF(J11:J12,"s")=0,IFERROR(F13-B13+1,0),0)))),IFERROR(F13-B13+1,0))</f>
        <v>0</v>
      </c>
      <c r="V13" s="70"/>
      <c r="W13" s="71"/>
      <c r="X13" s="67">
        <f t="shared" si="6"/>
        <v>0</v>
      </c>
      <c r="Y13" s="67"/>
      <c r="Z13" s="33"/>
      <c r="AA13" s="33"/>
      <c r="AB13" s="33"/>
      <c r="AC13" s="72"/>
      <c r="AD13" s="73"/>
      <c r="AE13" s="33"/>
      <c r="AF13" s="33"/>
      <c r="AG13" s="33"/>
    </row>
    <row r="14" spans="1:33">
      <c r="A14" s="33">
        <v>7</v>
      </c>
      <c r="B14" s="58">
        <v>40483</v>
      </c>
      <c r="C14" s="59">
        <v>652865.03864481708</v>
      </c>
      <c r="D14" s="60">
        <v>459930.22249999997</v>
      </c>
      <c r="E14" s="75">
        <v>51823.523199999996</v>
      </c>
      <c r="F14" s="61">
        <f t="shared" si="10"/>
        <v>40512</v>
      </c>
      <c r="G14" s="62" t="str">
        <f t="shared" si="7"/>
        <v>Hammamet 80 logts</v>
      </c>
      <c r="H14" s="63" t="str">
        <f t="shared" si="8"/>
        <v>Entreprise MMTB</v>
      </c>
      <c r="I14" s="63" t="str">
        <f t="shared" si="1"/>
        <v>Genie Civil</v>
      </c>
      <c r="J14" s="64">
        <f t="shared" si="2"/>
        <v>4</v>
      </c>
      <c r="K14" s="76"/>
      <c r="L14" s="66" t="str">
        <f t="shared" si="3"/>
        <v xml:space="preserve"> </v>
      </c>
      <c r="M14" s="33"/>
      <c r="N14" s="67"/>
      <c r="O14" s="59"/>
      <c r="P14" s="59">
        <f t="shared" si="4"/>
        <v>155723.93870840583</v>
      </c>
      <c r="Q14" s="68">
        <f t="shared" si="5"/>
        <v>123999.02559999999</v>
      </c>
      <c r="R14" s="69">
        <f t="shared" si="9"/>
        <v>30</v>
      </c>
      <c r="S14">
        <f>IF(J14="s",SUMPRODUCT(($J$8:J14="s")*1)*1,0)</f>
        <v>0</v>
      </c>
      <c r="U14" s="59">
        <f>IF(U13=0,(IF(COUNTIF(J12:J13,"s")=2,IFERROR(F14-B12+1,0),IF(COUNTIF(J12:J13,"s")=1,IFERROR(F14-B13+1,0),IF(COUNTIF(J12:J13,"s")=0,IFERROR(F14-B14+1,0),0)))),IFERROR(F14-B14+1,0))</f>
        <v>61</v>
      </c>
      <c r="V14" s="70"/>
      <c r="W14" s="71"/>
      <c r="X14" s="67">
        <f t="shared" si="6"/>
        <v>122553.57279999999</v>
      </c>
      <c r="Y14" s="67"/>
      <c r="Z14" s="33"/>
      <c r="AA14" s="33"/>
      <c r="AB14" s="33"/>
      <c r="AC14" s="72"/>
      <c r="AD14" s="73"/>
      <c r="AE14" s="33"/>
      <c r="AF14" s="33"/>
      <c r="AG14" s="33"/>
    </row>
    <row r="15" spans="1:33">
      <c r="A15" s="33">
        <v>8</v>
      </c>
      <c r="B15" s="58">
        <v>40513</v>
      </c>
      <c r="C15" s="59">
        <v>823913.71569217031</v>
      </c>
      <c r="D15" s="60">
        <v>521774.87681999995</v>
      </c>
      <c r="E15" s="75">
        <v>56650.855999999992</v>
      </c>
      <c r="F15" s="61">
        <f t="shared" si="10"/>
        <v>40543</v>
      </c>
      <c r="G15" s="62" t="str">
        <f t="shared" si="7"/>
        <v>Hammamet 80 logts</v>
      </c>
      <c r="H15" s="63" t="str">
        <f t="shared" si="8"/>
        <v>Entreprise MMTB</v>
      </c>
      <c r="I15" s="63" t="str">
        <f t="shared" si="1"/>
        <v>Genie Civil</v>
      </c>
      <c r="J15" s="64">
        <f t="shared" si="2"/>
        <v>5</v>
      </c>
      <c r="K15" s="76"/>
      <c r="L15" s="66" t="str">
        <f t="shared" si="3"/>
        <v xml:space="preserve"> </v>
      </c>
      <c r="M15" s="33"/>
      <c r="N15" s="67"/>
      <c r="O15" s="59"/>
      <c r="P15" s="59">
        <f t="shared" si="4"/>
        <v>171048.67704735324</v>
      </c>
      <c r="Q15" s="68">
        <f t="shared" si="5"/>
        <v>61844.654319999972</v>
      </c>
      <c r="R15" s="69">
        <f t="shared" si="9"/>
        <v>31</v>
      </c>
      <c r="S15">
        <f>IF(J15="s",SUMPRODUCT(($J$8:J15="s")*1)*1,0)</f>
        <v>0</v>
      </c>
      <c r="U15" s="59">
        <f>IF(U14=0,(IF(COUNTIF(J13:J14,"s")=2,IFERROR(F15-B13+1,0),IF(COUNTIF(J13:J14,"s")=1,IFERROR(F15-B14+1,0),IF(COUNTIF(J13:J14,"s")=0,IFERROR(F15-B15+1,0),0)))),IFERROR(F15-B15+1,0))</f>
        <v>31</v>
      </c>
      <c r="V15" s="70"/>
      <c r="W15" s="71"/>
      <c r="X15" s="67">
        <f t="shared" si="6"/>
        <v>66671.987119999976</v>
      </c>
      <c r="Y15" s="67"/>
      <c r="Z15" s="33"/>
      <c r="AA15" s="33"/>
      <c r="AB15" s="33"/>
      <c r="AC15" s="72"/>
      <c r="AD15" s="73"/>
      <c r="AE15" s="33"/>
      <c r="AF15" s="33"/>
      <c r="AG15" s="33"/>
    </row>
    <row r="16" spans="1:33">
      <c r="A16" s="33">
        <v>9</v>
      </c>
      <c r="B16" s="58">
        <v>40544</v>
      </c>
      <c r="C16" s="59">
        <v>1006023.8323864801</v>
      </c>
      <c r="D16" s="60">
        <v>521774.87681999995</v>
      </c>
      <c r="E16" s="75">
        <v>56650.855999999992</v>
      </c>
      <c r="F16" s="61" t="str">
        <f t="shared" si="10"/>
        <v>sans Dp</v>
      </c>
      <c r="G16" s="62" t="str">
        <f t="shared" si="7"/>
        <v>Hammamet 80 logts</v>
      </c>
      <c r="H16" s="63" t="str">
        <f t="shared" si="8"/>
        <v>Entreprise MMTB</v>
      </c>
      <c r="I16" s="63" t="str">
        <f t="shared" si="1"/>
        <v>Genie Civil</v>
      </c>
      <c r="J16" s="64" t="str">
        <f t="shared" si="2"/>
        <v>s</v>
      </c>
      <c r="K16" s="76"/>
      <c r="L16" s="66" t="str">
        <f t="shared" si="3"/>
        <v xml:space="preserve"> </v>
      </c>
      <c r="M16" s="33"/>
      <c r="N16" s="67"/>
      <c r="O16" s="59"/>
      <c r="P16" s="59">
        <f t="shared" si="4"/>
        <v>182110.11669430975</v>
      </c>
      <c r="Q16" s="68">
        <f t="shared" si="5"/>
        <v>0</v>
      </c>
      <c r="R16" s="69">
        <f t="shared" si="9"/>
        <v>31</v>
      </c>
      <c r="S16">
        <f>IF(J16="s",SUMPRODUCT(($J$8:J16="s")*1)*1,0)</f>
        <v>4</v>
      </c>
      <c r="U16" s="59">
        <f>IF(U15=0,(IF(COUNTIF(J14:J15,"s")=2,IFERROR(F16-B14+1,0),IF(COUNTIF(J14:J15,"s")=1,IFERROR(F16-B15+1,0),IF(COUNTIF(J14:J15,"s")=0,IFERROR(F16-B16+1,0),0)))),IFERROR(F16-B16+1,0))</f>
        <v>0</v>
      </c>
      <c r="V16" s="70"/>
      <c r="W16" s="71"/>
      <c r="X16" s="67">
        <f t="shared" si="6"/>
        <v>0</v>
      </c>
      <c r="Y16" s="67"/>
      <c r="Z16" s="33"/>
      <c r="AA16" s="33"/>
      <c r="AB16" s="33"/>
      <c r="AC16" s="72"/>
      <c r="AD16" s="73"/>
      <c r="AE16" s="33"/>
      <c r="AF16" s="33"/>
      <c r="AG16" s="33"/>
    </row>
    <row r="17" spans="1:33">
      <c r="A17" s="33">
        <v>10</v>
      </c>
      <c r="B17" s="58">
        <v>40575</v>
      </c>
      <c r="C17" s="59">
        <v>1188133.9490807897</v>
      </c>
      <c r="D17" s="60">
        <v>521774.87681999995</v>
      </c>
      <c r="E17" s="75">
        <v>56650.855999999992</v>
      </c>
      <c r="F17" s="61" t="str">
        <f t="shared" si="10"/>
        <v>sans Dp</v>
      </c>
      <c r="G17" s="62" t="str">
        <f t="shared" si="7"/>
        <v>Hammamet 80 logts</v>
      </c>
      <c r="H17" s="63" t="str">
        <f t="shared" si="8"/>
        <v>Entreprise MMTB</v>
      </c>
      <c r="I17" s="63" t="str">
        <f t="shared" si="1"/>
        <v>Genie Civil</v>
      </c>
      <c r="J17" s="64" t="str">
        <f t="shared" si="2"/>
        <v>s</v>
      </c>
      <c r="K17" s="76"/>
      <c r="L17" s="66" t="str">
        <f t="shared" si="3"/>
        <v xml:space="preserve"> </v>
      </c>
      <c r="M17" s="33"/>
      <c r="N17" s="67"/>
      <c r="O17" s="59"/>
      <c r="P17" s="59">
        <f t="shared" si="4"/>
        <v>182110.11669430963</v>
      </c>
      <c r="Q17" s="68">
        <f t="shared" si="5"/>
        <v>0</v>
      </c>
      <c r="R17" s="69">
        <f t="shared" si="9"/>
        <v>28</v>
      </c>
      <c r="S17">
        <f>IF(J17="s",SUMPRODUCT(($J$8:J17="s")*1)*1,0)</f>
        <v>5</v>
      </c>
      <c r="U17" s="59">
        <f>IF(U16=0,(IF(COUNTIF(J15:J16,"s")=2,IFERROR(F17-B15+1,0),IF(COUNTIF(J15:J16,"s")=1,IFERROR(F17-B16+1,0),IF(COUNTIF(J15:J16,"s")=0,IFERROR(F17-B17+1,0),0)))),IFERROR(F17-B17+1,0))</f>
        <v>0</v>
      </c>
      <c r="V17" s="70"/>
      <c r="W17" s="71"/>
      <c r="X17" s="67">
        <f t="shared" si="6"/>
        <v>0</v>
      </c>
      <c r="Y17" s="67"/>
      <c r="Z17" s="33"/>
      <c r="AA17" s="33"/>
      <c r="AB17" s="33"/>
      <c r="AC17" s="72"/>
      <c r="AD17" s="73"/>
      <c r="AE17" s="33"/>
      <c r="AF17" s="33"/>
      <c r="AG17" s="33"/>
    </row>
    <row r="18" spans="1:33">
      <c r="A18" s="33">
        <v>11</v>
      </c>
      <c r="B18" s="58">
        <v>40603</v>
      </c>
      <c r="C18" s="59">
        <v>1370244.0657750994</v>
      </c>
      <c r="D18" s="60">
        <v>839384.80371999997</v>
      </c>
      <c r="E18" s="75">
        <v>82657.584000000003</v>
      </c>
      <c r="F18" s="61">
        <f t="shared" si="10"/>
        <v>40633</v>
      </c>
      <c r="G18" s="62" t="str">
        <f t="shared" si="7"/>
        <v>Hammamet 80 logts</v>
      </c>
      <c r="H18" s="63" t="str">
        <f t="shared" si="8"/>
        <v>Entreprise MMTB</v>
      </c>
      <c r="I18" s="63" t="str">
        <f t="shared" si="1"/>
        <v>Genie Civil</v>
      </c>
      <c r="J18" s="64">
        <f t="shared" si="2"/>
        <v>6</v>
      </c>
      <c r="K18" s="76"/>
      <c r="L18" s="66" t="str">
        <f t="shared" si="3"/>
        <v xml:space="preserve"> </v>
      </c>
      <c r="M18" s="33"/>
      <c r="N18" s="67"/>
      <c r="O18" s="59"/>
      <c r="P18" s="59">
        <f t="shared" si="4"/>
        <v>182110.11669430975</v>
      </c>
      <c r="Q18" s="68">
        <f t="shared" si="5"/>
        <v>317609.92690000002</v>
      </c>
      <c r="R18" s="69">
        <f t="shared" si="9"/>
        <v>31</v>
      </c>
      <c r="S18">
        <f>IF(J18="s",SUMPRODUCT(($J$8:J18="s")*1)*1,0)</f>
        <v>0</v>
      </c>
      <c r="U18" s="59">
        <f>IF(U17=0,(IF(COUNTIF(J16:J17,"s")=2,IFERROR(F18-B16+1,0),IF(COUNTIF(J16:J17,"s")=1,IFERROR(F18-B17+1,0),IF(COUNTIF(J16:J17,"s")=0,IFERROR(F18-B18+1,0),0)))),IFERROR(F18-B18+1,0))</f>
        <v>90</v>
      </c>
      <c r="V18" s="70"/>
      <c r="W18" s="71"/>
      <c r="X18" s="67">
        <f t="shared" si="6"/>
        <v>343616.65490000002</v>
      </c>
      <c r="Y18" s="67"/>
      <c r="Z18" s="33"/>
      <c r="AA18" s="33"/>
      <c r="AB18" s="33"/>
      <c r="AC18" s="72"/>
      <c r="AD18" s="73"/>
      <c r="AE18" s="33"/>
      <c r="AF18" s="33"/>
      <c r="AG18" s="33"/>
    </row>
    <row r="19" spans="1:33">
      <c r="A19" s="33">
        <v>12</v>
      </c>
      <c r="B19" s="58">
        <v>40634</v>
      </c>
      <c r="C19" s="59">
        <v>1561889.3315694092</v>
      </c>
      <c r="D19" s="60">
        <v>928807.36901999987</v>
      </c>
      <c r="E19" s="75">
        <v>74205.008000000002</v>
      </c>
      <c r="F19" s="61">
        <f t="shared" si="10"/>
        <v>40663</v>
      </c>
      <c r="G19" s="62" t="str">
        <f t="shared" si="7"/>
        <v>Hammamet 80 logts</v>
      </c>
      <c r="H19" s="63" t="str">
        <f t="shared" si="8"/>
        <v>Entreprise MMTB</v>
      </c>
      <c r="I19" s="63" t="str">
        <f t="shared" si="1"/>
        <v>Genie Civil</v>
      </c>
      <c r="J19" s="64">
        <f t="shared" si="2"/>
        <v>7</v>
      </c>
      <c r="K19" s="76"/>
      <c r="L19" s="66" t="str">
        <f t="shared" si="3"/>
        <v xml:space="preserve"> </v>
      </c>
      <c r="M19" s="33"/>
      <c r="N19" s="67"/>
      <c r="O19" s="59"/>
      <c r="P19" s="59">
        <f t="shared" si="4"/>
        <v>191645.26579430979</v>
      </c>
      <c r="Q19" s="68">
        <f t="shared" si="5"/>
        <v>89422.5652999999</v>
      </c>
      <c r="R19" s="69">
        <f t="shared" si="9"/>
        <v>30</v>
      </c>
      <c r="S19">
        <f>IF(J19="s",SUMPRODUCT(($J$8:J19="s")*1)*1,0)</f>
        <v>0</v>
      </c>
      <c r="U19" s="59">
        <f>IF(U18=0,(IF(COUNTIF(J17:J18,"s")=2,IFERROR(F19-B17+1,0),IF(COUNTIF(J17:J18,"s")=1,IFERROR(F19-B18+1,0),IF(COUNTIF(J17:J18,"s")=0,IFERROR(F19-B19+1,0),0)))),IFERROR(F19-B19+1,0))</f>
        <v>30</v>
      </c>
      <c r="V19" s="70"/>
      <c r="W19" s="71"/>
      <c r="X19" s="67">
        <f t="shared" si="6"/>
        <v>80969.989299999899</v>
      </c>
      <c r="Y19" s="67"/>
      <c r="Z19" s="33"/>
      <c r="AA19" s="33"/>
      <c r="AB19" s="33"/>
      <c r="AC19" s="72"/>
      <c r="AD19" s="73"/>
      <c r="AE19" s="33"/>
      <c r="AF19" s="33"/>
      <c r="AG19" s="33"/>
    </row>
    <row r="20" spans="1:33">
      <c r="A20" s="33">
        <v>13</v>
      </c>
      <c r="B20" s="58">
        <v>40664</v>
      </c>
      <c r="C20" s="59">
        <v>1775306.0316970523</v>
      </c>
      <c r="D20" s="60">
        <v>1082518.7722</v>
      </c>
      <c r="E20" s="75">
        <v>75365.655999999988</v>
      </c>
      <c r="F20" s="61">
        <f t="shared" si="10"/>
        <v>40694</v>
      </c>
      <c r="G20" s="62" t="str">
        <f t="shared" si="7"/>
        <v>Hammamet 80 logts</v>
      </c>
      <c r="H20" s="63" t="str">
        <f t="shared" si="8"/>
        <v>Entreprise MMTB</v>
      </c>
      <c r="I20" s="63" t="str">
        <f t="shared" si="1"/>
        <v>Genie Civil</v>
      </c>
      <c r="J20" s="64">
        <f t="shared" si="2"/>
        <v>8</v>
      </c>
      <c r="K20" s="76"/>
      <c r="L20" s="66" t="str">
        <f t="shared" si="3"/>
        <v xml:space="preserve"> </v>
      </c>
      <c r="M20" s="33"/>
      <c r="N20" s="67"/>
      <c r="O20" s="59"/>
      <c r="P20" s="59">
        <f t="shared" si="4"/>
        <v>213416.70012764307</v>
      </c>
      <c r="Q20" s="68">
        <f t="shared" si="5"/>
        <v>153711.40318000014</v>
      </c>
      <c r="R20" s="69">
        <f t="shared" si="9"/>
        <v>31</v>
      </c>
      <c r="S20">
        <f>IF(J20="s",SUMPRODUCT(($J$8:J20="s")*1)*1,0)</f>
        <v>0</v>
      </c>
      <c r="U20" s="59">
        <f>IF(U19=0,(IF(COUNTIF(J18:J19,"s")=2,IFERROR(F20-B18+1,0),IF(COUNTIF(J18:J19,"s")=1,IFERROR(F20-B19+1,0),IF(COUNTIF(J18:J19,"s")=0,IFERROR(F20-B20+1,0),0)))),IFERROR(F20-B20+1,0))</f>
        <v>31</v>
      </c>
      <c r="V20" s="70"/>
      <c r="W20" s="71"/>
      <c r="X20" s="67">
        <f t="shared" si="6"/>
        <v>154872.05118000013</v>
      </c>
      <c r="Y20" s="67"/>
      <c r="Z20" s="33"/>
      <c r="AA20" s="33"/>
      <c r="AB20" s="33"/>
      <c r="AC20" s="72"/>
      <c r="AD20" s="73"/>
      <c r="AE20" s="33"/>
      <c r="AF20" s="33"/>
      <c r="AG20" s="33"/>
    </row>
    <row r="21" spans="1:33">
      <c r="A21" s="33">
        <v>14</v>
      </c>
      <c r="B21" s="58">
        <v>40695</v>
      </c>
      <c r="C21" s="59">
        <v>1948199.5318246954</v>
      </c>
      <c r="D21" s="60">
        <v>1122493.11772</v>
      </c>
      <c r="E21" s="75">
        <v>70041.967999999993</v>
      </c>
      <c r="F21" s="61">
        <f t="shared" si="10"/>
        <v>40724</v>
      </c>
      <c r="G21" s="62" t="str">
        <f t="shared" si="7"/>
        <v>Hammamet 80 logts</v>
      </c>
      <c r="H21" s="63" t="str">
        <f t="shared" si="8"/>
        <v>Entreprise MMTB</v>
      </c>
      <c r="I21" s="63" t="str">
        <f t="shared" si="1"/>
        <v>Genie Civil</v>
      </c>
      <c r="J21" s="64">
        <f t="shared" si="2"/>
        <v>9</v>
      </c>
      <c r="K21" s="76"/>
      <c r="L21" s="66" t="str">
        <f t="shared" si="3"/>
        <v xml:space="preserve"> </v>
      </c>
      <c r="M21" s="33"/>
      <c r="N21" s="67"/>
      <c r="O21" s="59"/>
      <c r="P21" s="59">
        <f t="shared" si="4"/>
        <v>172893.50012764311</v>
      </c>
      <c r="Q21" s="68">
        <f t="shared" si="5"/>
        <v>39974.345519999973</v>
      </c>
      <c r="R21" s="69">
        <f t="shared" si="9"/>
        <v>30</v>
      </c>
      <c r="S21">
        <f>IF(J21="s",SUMPRODUCT(($J$8:J21="s")*1)*1,0)</f>
        <v>0</v>
      </c>
      <c r="U21" s="59">
        <f>IF(U20=0,(IF(COUNTIF(J19:J20,"s")=2,IFERROR(F21-B19+1,0),IF(COUNTIF(J19:J20,"s")=1,IFERROR(F21-B20+1,0),IF(COUNTIF(J19:J20,"s")=0,IFERROR(F21-B21+1,0),0)))),IFERROR(F21-B21+1,0))</f>
        <v>30</v>
      </c>
      <c r="V21" s="70"/>
      <c r="W21" s="71"/>
      <c r="X21" s="67">
        <f t="shared" si="6"/>
        <v>34650.657519999979</v>
      </c>
      <c r="Y21" s="67"/>
      <c r="Z21" s="33"/>
      <c r="AA21" s="33"/>
      <c r="AB21" s="33"/>
      <c r="AC21" s="72"/>
      <c r="AD21" s="73"/>
      <c r="AE21" s="33"/>
      <c r="AF21" s="33"/>
      <c r="AG21" s="33"/>
    </row>
    <row r="22" spans="1:33">
      <c r="A22" s="33">
        <v>15</v>
      </c>
      <c r="B22" s="58">
        <v>40725</v>
      </c>
      <c r="C22" s="59">
        <v>2123123.6486763386</v>
      </c>
      <c r="D22" s="60">
        <v>1122493.11772</v>
      </c>
      <c r="E22" s="75">
        <v>70041.967999999993</v>
      </c>
      <c r="F22" s="61" t="str">
        <f t="shared" si="10"/>
        <v>sans Dp</v>
      </c>
      <c r="G22" s="62" t="str">
        <f t="shared" si="7"/>
        <v>Hammamet 80 logts</v>
      </c>
      <c r="H22" s="63" t="str">
        <f t="shared" si="8"/>
        <v>Entreprise MMTB</v>
      </c>
      <c r="I22" s="63" t="str">
        <f t="shared" si="1"/>
        <v>Genie Civil</v>
      </c>
      <c r="J22" s="64" t="str">
        <f t="shared" si="2"/>
        <v>s</v>
      </c>
      <c r="K22" s="76"/>
      <c r="L22" s="66" t="str">
        <f t="shared" si="3"/>
        <v xml:space="preserve"> </v>
      </c>
      <c r="M22" s="33"/>
      <c r="N22" s="67"/>
      <c r="O22" s="59"/>
      <c r="P22" s="59">
        <f t="shared" si="4"/>
        <v>174924.11685164319</v>
      </c>
      <c r="Q22" s="68">
        <f t="shared" si="5"/>
        <v>0</v>
      </c>
      <c r="R22" s="69">
        <f t="shared" si="9"/>
        <v>31</v>
      </c>
      <c r="S22">
        <f>IF(J22="s",SUMPRODUCT(($J$8:J22="s")*1)*1,0)</f>
        <v>6</v>
      </c>
      <c r="U22" s="59">
        <f>IF(U21=0,(IF(COUNTIF(J20:J21,"s")=2,IFERROR(F22-B20+1,0),IF(COUNTIF(J20:J21,"s")=1,IFERROR(F22-B21+1,0),IF(COUNTIF(J20:J21,"s")=0,IFERROR(F22-B22+1,0),0)))),IFERROR(F22-B22+1,0))</f>
        <v>0</v>
      </c>
      <c r="V22" s="70"/>
      <c r="W22" s="71"/>
      <c r="X22" s="67">
        <f t="shared" si="6"/>
        <v>0</v>
      </c>
      <c r="Y22" s="67"/>
      <c r="Z22" s="33"/>
      <c r="AA22" s="33"/>
      <c r="AB22" s="33"/>
      <c r="AC22" s="72"/>
      <c r="AD22" s="73"/>
      <c r="AE22" s="33"/>
      <c r="AF22" s="33"/>
      <c r="AG22" s="33"/>
    </row>
    <row r="23" spans="1:33">
      <c r="A23" s="33">
        <v>16</v>
      </c>
      <c r="B23" s="58">
        <v>40756</v>
      </c>
      <c r="C23" s="59">
        <v>2304116.0414565532</v>
      </c>
      <c r="D23" s="60">
        <v>1122493.11772</v>
      </c>
      <c r="E23" s="75">
        <v>67104.25297999999</v>
      </c>
      <c r="F23" s="61" t="str">
        <f t="shared" si="10"/>
        <v>sans Dp</v>
      </c>
      <c r="G23" s="62" t="str">
        <f t="shared" si="7"/>
        <v>Hammamet 80 logts</v>
      </c>
      <c r="H23" s="63" t="str">
        <f t="shared" si="8"/>
        <v>Entreprise MMTB</v>
      </c>
      <c r="I23" s="63" t="str">
        <f t="shared" si="1"/>
        <v>Genie Civil</v>
      </c>
      <c r="J23" s="64" t="str">
        <f t="shared" si="2"/>
        <v>s</v>
      </c>
      <c r="K23" s="76"/>
      <c r="L23" s="66" t="str">
        <f t="shared" si="3"/>
        <v xml:space="preserve"> </v>
      </c>
      <c r="M23" s="33"/>
      <c r="N23" s="67"/>
      <c r="O23" s="59"/>
      <c r="P23" s="59">
        <f t="shared" si="4"/>
        <v>180992.39278021455</v>
      </c>
      <c r="Q23" s="68">
        <f t="shared" si="5"/>
        <v>0</v>
      </c>
      <c r="R23" s="69">
        <f t="shared" si="9"/>
        <v>31</v>
      </c>
      <c r="S23">
        <f>IF(J23="s",SUMPRODUCT(($J$8:J23="s")*1)*1,0)</f>
        <v>7</v>
      </c>
      <c r="U23" s="59">
        <f>IF(U22=0,(IF(COUNTIF(J21:J22,"s")=2,IFERROR(F23-B21+1,0),IF(COUNTIF(J21:J22,"s")=1,IFERROR(F23-B22+1,0),IF(COUNTIF(J21:J22,"s")=0,IFERROR(F23-B23+1,0),0)))),IFERROR(F23-B23+1,0))</f>
        <v>0</v>
      </c>
      <c r="V23" s="70"/>
      <c r="W23" s="71"/>
      <c r="X23" s="67">
        <f t="shared" si="6"/>
        <v>0</v>
      </c>
      <c r="Y23" s="67"/>
      <c r="Z23" s="33"/>
      <c r="AA23" s="33"/>
      <c r="AB23" s="33"/>
      <c r="AC23" s="72"/>
      <c r="AD23" s="73"/>
      <c r="AE23" s="33"/>
      <c r="AF23" s="33"/>
      <c r="AG23" s="33"/>
    </row>
    <row r="24" spans="1:33">
      <c r="A24" s="33">
        <v>17</v>
      </c>
      <c r="B24" s="58">
        <v>40787</v>
      </c>
      <c r="C24" s="59">
        <v>2420679.4186345874</v>
      </c>
      <c r="D24" s="60">
        <v>1302185.9308199999</v>
      </c>
      <c r="E24" s="75">
        <v>60861.901939999996</v>
      </c>
      <c r="F24" s="61">
        <f t="shared" si="10"/>
        <v>40816</v>
      </c>
      <c r="G24" s="62" t="str">
        <f t="shared" si="7"/>
        <v>Hammamet 80 logts</v>
      </c>
      <c r="H24" s="63" t="str">
        <f t="shared" si="8"/>
        <v>Entreprise MMTB</v>
      </c>
      <c r="I24" s="63" t="str">
        <f t="shared" si="1"/>
        <v>Genie Civil</v>
      </c>
      <c r="J24" s="64">
        <f t="shared" si="2"/>
        <v>10</v>
      </c>
      <c r="K24" s="76"/>
      <c r="L24" s="66" t="str">
        <f t="shared" si="3"/>
        <v xml:space="preserve"> </v>
      </c>
      <c r="M24" s="33"/>
      <c r="N24" s="67"/>
      <c r="O24" s="59"/>
      <c r="P24" s="59">
        <f t="shared" si="4"/>
        <v>116563.37717803428</v>
      </c>
      <c r="Q24" s="68">
        <f t="shared" si="5"/>
        <v>179692.81309999991</v>
      </c>
      <c r="R24" s="69">
        <f t="shared" si="9"/>
        <v>30</v>
      </c>
      <c r="S24">
        <f>IF(J24="s",SUMPRODUCT(($J$8:J24="s")*1)*1,0)</f>
        <v>0</v>
      </c>
      <c r="U24" s="59">
        <f>IF(U23=0,(IF(COUNTIF(J22:J23,"s")=2,IFERROR(F24-B22+1,0),IF(COUNTIF(J22:J23,"s")=1,IFERROR(F24-B23+1,0),IF(COUNTIF(J22:J23,"s")=0,IFERROR(F24-B24+1,0),0)))),IFERROR(F24-B24+1,0))</f>
        <v>92</v>
      </c>
      <c r="V24" s="70"/>
      <c r="W24" s="71"/>
      <c r="X24" s="67">
        <f t="shared" si="6"/>
        <v>173450.46205999993</v>
      </c>
      <c r="Y24" s="67"/>
      <c r="Z24" s="33"/>
      <c r="AA24" s="33"/>
      <c r="AB24" s="33"/>
      <c r="AC24" s="72"/>
      <c r="AD24" s="73"/>
      <c r="AE24" s="33"/>
      <c r="AF24" s="33"/>
      <c r="AG24" s="33"/>
    </row>
    <row r="25" spans="1:33">
      <c r="A25" s="33">
        <v>18</v>
      </c>
      <c r="B25" s="58">
        <v>40817</v>
      </c>
      <c r="C25" s="59">
        <v>2472585.7441470861</v>
      </c>
      <c r="D25" s="60">
        <v>1401830.50336</v>
      </c>
      <c r="E25" s="75">
        <v>48882.746079999997</v>
      </c>
      <c r="F25" s="61">
        <f t="shared" si="10"/>
        <v>40847</v>
      </c>
      <c r="G25" s="62" t="str">
        <f t="shared" si="7"/>
        <v>Hammamet 80 logts</v>
      </c>
      <c r="H25" s="63" t="str">
        <f t="shared" si="8"/>
        <v>Entreprise MMTB</v>
      </c>
      <c r="I25" s="63" t="str">
        <f t="shared" si="1"/>
        <v>Genie Civil</v>
      </c>
      <c r="J25" s="64">
        <f t="shared" si="2"/>
        <v>11</v>
      </c>
      <c r="K25" s="76"/>
      <c r="L25" s="66" t="str">
        <f t="shared" si="3"/>
        <v xml:space="preserve"> </v>
      </c>
      <c r="M25" s="33"/>
      <c r="N25" s="67"/>
      <c r="O25" s="59"/>
      <c r="P25" s="59">
        <f t="shared" si="4"/>
        <v>51906.325512498617</v>
      </c>
      <c r="Q25" s="68">
        <f t="shared" si="5"/>
        <v>99644.572540000081</v>
      </c>
      <c r="R25" s="69">
        <f t="shared" si="9"/>
        <v>31</v>
      </c>
      <c r="S25">
        <f>IF(J25="s",SUMPRODUCT(($J$8:J25="s")*1)*1,0)</f>
        <v>0</v>
      </c>
      <c r="U25" s="59">
        <f>IF(U24=0,(IF(COUNTIF(J23:J24,"s")=2,IFERROR(F25-B23+1,0),IF(COUNTIF(J23:J24,"s")=1,IFERROR(F25-B24+1,0),IF(COUNTIF(J23:J24,"s")=0,IFERROR(F25-B25+1,0),0)))),IFERROR(F25-B25+1,0))</f>
        <v>31</v>
      </c>
      <c r="V25" s="70"/>
      <c r="W25" s="71"/>
      <c r="X25" s="67">
        <f t="shared" si="6"/>
        <v>87665.416680000082</v>
      </c>
      <c r="Y25" s="67"/>
      <c r="Z25" s="33"/>
      <c r="AA25" s="33"/>
      <c r="AB25" s="33"/>
      <c r="AC25" s="72"/>
      <c r="AD25" s="73"/>
      <c r="AE25" s="33"/>
      <c r="AF25" s="33"/>
      <c r="AG25" s="33"/>
    </row>
    <row r="26" spans="1:33">
      <c r="A26" s="33">
        <v>19</v>
      </c>
      <c r="B26" s="58">
        <v>40848</v>
      </c>
      <c r="C26" s="59">
        <v>2509381.2066598553</v>
      </c>
      <c r="D26" s="60">
        <v>1474024.5294000001</v>
      </c>
      <c r="E26" s="75">
        <v>46834.814780000001</v>
      </c>
      <c r="F26" s="61">
        <f t="shared" si="10"/>
        <v>40877</v>
      </c>
      <c r="G26" s="62" t="str">
        <f t="shared" si="7"/>
        <v>Hammamet 80 logts</v>
      </c>
      <c r="H26" s="63" t="str">
        <f t="shared" si="8"/>
        <v>Entreprise MMTB</v>
      </c>
      <c r="I26" s="63" t="str">
        <f t="shared" si="1"/>
        <v>Genie Civil</v>
      </c>
      <c r="J26" s="64">
        <f t="shared" si="2"/>
        <v>12</v>
      </c>
      <c r="K26" s="76"/>
      <c r="L26" s="66" t="str">
        <f t="shared" si="3"/>
        <v xml:space="preserve"> </v>
      </c>
      <c r="M26" s="33"/>
      <c r="N26" s="67"/>
      <c r="O26" s="59"/>
      <c r="P26" s="59">
        <f t="shared" si="4"/>
        <v>36795.462512769271</v>
      </c>
      <c r="Q26" s="68">
        <f t="shared" si="5"/>
        <v>72194.026040000143</v>
      </c>
      <c r="R26" s="69">
        <f t="shared" si="9"/>
        <v>30</v>
      </c>
      <c r="S26">
        <f>IF(J26="s",SUMPRODUCT(($J$8:J26="s")*1)*1,0)</f>
        <v>0</v>
      </c>
      <c r="U26" s="59">
        <f>IF(U25=0,(IF(COUNTIF(J24:J25,"s")=2,IFERROR(F26-B24+1,0),IF(COUNTIF(J24:J25,"s")=1,IFERROR(F26-B25+1,0),IF(COUNTIF(J24:J25,"s")=0,IFERROR(F26-B26+1,0),0)))),IFERROR(F26-B26+1,0))</f>
        <v>30</v>
      </c>
      <c r="V26" s="70"/>
      <c r="W26" s="71"/>
      <c r="X26" s="67">
        <f t="shared" si="6"/>
        <v>70146.094740000146</v>
      </c>
      <c r="Y26" s="67"/>
      <c r="Z26" s="33"/>
      <c r="AA26" s="33"/>
      <c r="AB26" s="33"/>
      <c r="AC26" s="72"/>
      <c r="AD26" s="73"/>
      <c r="AE26" s="33"/>
      <c r="AF26" s="33"/>
      <c r="AG26" s="33"/>
    </row>
    <row r="27" spans="1:33">
      <c r="A27" s="33">
        <v>20</v>
      </c>
      <c r="B27" s="58">
        <v>40878</v>
      </c>
      <c r="C27" s="59">
        <v>2524666.8199999998</v>
      </c>
      <c r="D27" s="60">
        <v>1555076.2041999998</v>
      </c>
      <c r="E27" s="75">
        <v>41271.248119999997</v>
      </c>
      <c r="F27" s="61">
        <f t="shared" si="10"/>
        <v>40908</v>
      </c>
      <c r="G27" s="62" t="str">
        <f t="shared" si="7"/>
        <v>Hammamet 80 logts</v>
      </c>
      <c r="H27" s="63" t="str">
        <f t="shared" si="8"/>
        <v>Entreprise MMTB</v>
      </c>
      <c r="I27" s="63" t="str">
        <f t="shared" si="1"/>
        <v>Genie Civil</v>
      </c>
      <c r="J27" s="64">
        <f t="shared" si="2"/>
        <v>13</v>
      </c>
      <c r="K27" s="76"/>
      <c r="L27" s="66" t="str">
        <f t="shared" si="3"/>
        <v xml:space="preserve"> </v>
      </c>
      <c r="M27" s="33"/>
      <c r="N27" s="67"/>
      <c r="O27" s="59"/>
      <c r="P27" s="59">
        <f t="shared" si="4"/>
        <v>15285.613340144511</v>
      </c>
      <c r="Q27" s="68">
        <f t="shared" si="5"/>
        <v>81051.674799999688</v>
      </c>
      <c r="R27" s="69">
        <f t="shared" si="9"/>
        <v>31</v>
      </c>
      <c r="S27">
        <f>IF(J27="s",SUMPRODUCT(($J$8:J27="s")*1)*1,0)</f>
        <v>0</v>
      </c>
      <c r="U27" s="59">
        <f>IF(U26=0,(IF(COUNTIF(J25:J26,"s")=2,IFERROR(F27-B25+1,0),IF(COUNTIF(J25:J26,"s")=1,IFERROR(F27-B26+1,0),IF(COUNTIF(J25:J26,"s")=0,IFERROR(F27-B27+1,0),0)))),IFERROR(F27-B27+1,0))</f>
        <v>31</v>
      </c>
      <c r="V27" s="70"/>
      <c r="W27" s="71"/>
      <c r="X27" s="67">
        <f t="shared" si="6"/>
        <v>75488.108139999676</v>
      </c>
      <c r="Y27" s="67"/>
      <c r="Z27" s="33"/>
      <c r="AA27" s="33"/>
      <c r="AB27" s="33"/>
      <c r="AC27" s="72"/>
      <c r="AD27" s="73"/>
      <c r="AE27" s="33"/>
      <c r="AF27" s="33"/>
      <c r="AG27" s="33"/>
    </row>
    <row r="28" spans="1:33">
      <c r="A28" s="33">
        <v>21</v>
      </c>
      <c r="B28" s="58">
        <v>40909</v>
      </c>
      <c r="C28" s="77"/>
      <c r="D28" s="60">
        <v>1667634.6341999997</v>
      </c>
      <c r="E28" s="75">
        <v>33643.358779999995</v>
      </c>
      <c r="F28" s="61">
        <f t="shared" si="10"/>
        <v>40939</v>
      </c>
      <c r="G28" s="62" t="str">
        <f t="shared" si="7"/>
        <v>Hammamet 80 logts</v>
      </c>
      <c r="H28" s="63" t="str">
        <f t="shared" si="8"/>
        <v>Entreprise MMTB</v>
      </c>
      <c r="I28" s="63" t="str">
        <f t="shared" si="1"/>
        <v>Genie Civil</v>
      </c>
      <c r="J28" s="64">
        <f t="shared" si="2"/>
        <v>14</v>
      </c>
      <c r="K28" s="76"/>
      <c r="L28" s="66" t="str">
        <f t="shared" si="3"/>
        <v xml:space="preserve"> </v>
      </c>
      <c r="M28" s="33"/>
      <c r="N28" s="67"/>
      <c r="O28" s="59"/>
      <c r="P28" s="59">
        <f t="shared" si="4"/>
        <v>0</v>
      </c>
      <c r="Q28" s="68">
        <f t="shared" si="5"/>
        <v>112558.42999999993</v>
      </c>
      <c r="R28" s="69">
        <f t="shared" si="9"/>
        <v>31</v>
      </c>
      <c r="S28">
        <f>IF(J28="s",SUMPRODUCT(($J$8:J28="s")*1)*1,0)</f>
        <v>0</v>
      </c>
      <c r="U28" s="59">
        <f>IF(U27=0,(IF(COUNTIF(J26:J27,"s")=2,IFERROR(F28-B26+1,0),IF(COUNTIF(J26:J27,"s")=1,IFERROR(F28-B27+1,0),IF(COUNTIF(J26:J27,"s")=0,IFERROR(F28-B28+1,0),0)))),IFERROR(F28-B28+1,0))</f>
        <v>31</v>
      </c>
      <c r="V28" s="70"/>
      <c r="W28" s="71"/>
      <c r="X28" s="67">
        <f t="shared" si="6"/>
        <v>104930.54065999994</v>
      </c>
      <c r="Y28" s="67"/>
      <c r="Z28" s="33"/>
      <c r="AA28" s="33"/>
      <c r="AB28" s="33"/>
      <c r="AC28" s="72"/>
      <c r="AD28" s="73"/>
      <c r="AE28" s="33"/>
      <c r="AF28" s="33"/>
      <c r="AG28" s="33"/>
    </row>
    <row r="29" spans="1:33">
      <c r="A29" s="33">
        <v>22</v>
      </c>
      <c r="B29" s="58">
        <v>40940</v>
      </c>
      <c r="C29" s="77"/>
      <c r="D29" s="60">
        <v>1752079.1547400001</v>
      </c>
      <c r="E29" s="75">
        <v>71446.654160000006</v>
      </c>
      <c r="F29" s="61">
        <f t="shared" si="10"/>
        <v>40968</v>
      </c>
      <c r="G29" s="62" t="str">
        <f t="shared" si="7"/>
        <v>Hammamet 80 logts</v>
      </c>
      <c r="H29" s="63" t="str">
        <f t="shared" si="8"/>
        <v>Entreprise MMTB</v>
      </c>
      <c r="I29" s="63" t="str">
        <f t="shared" si="1"/>
        <v>Genie Civil</v>
      </c>
      <c r="J29" s="64">
        <f t="shared" si="2"/>
        <v>15</v>
      </c>
      <c r="K29" s="76"/>
      <c r="L29" s="66" t="str">
        <f t="shared" si="3"/>
        <v xml:space="preserve"> </v>
      </c>
      <c r="M29" s="33"/>
      <c r="N29" s="67"/>
      <c r="O29" s="59"/>
      <c r="P29" s="59">
        <f t="shared" si="4"/>
        <v>0</v>
      </c>
      <c r="Q29" s="68">
        <f t="shared" si="5"/>
        <v>84444.520540000405</v>
      </c>
      <c r="R29" s="69">
        <f t="shared" si="9"/>
        <v>29</v>
      </c>
      <c r="S29">
        <f>IF(J29="s",SUMPRODUCT(($J$8:J29="s")*1)*1,0)</f>
        <v>0</v>
      </c>
      <c r="U29" s="59">
        <f>IF(U28=0,(IF(COUNTIF(J27:J28,"s")=2,IFERROR(F29-B27+1,0),IF(COUNTIF(J27:J28,"s")=1,IFERROR(F29-B28+1,0),IF(COUNTIF(J27:J28,"s")=0,IFERROR(F29-B29+1,0),0)))),IFERROR(F29-B29+1,0))</f>
        <v>29</v>
      </c>
      <c r="V29" s="70"/>
      <c r="W29" s="71"/>
      <c r="X29" s="67">
        <f t="shared" si="6"/>
        <v>122247.81592000042</v>
      </c>
      <c r="Y29" s="67"/>
      <c r="Z29" s="33"/>
      <c r="AA29" s="33"/>
      <c r="AB29" s="33"/>
      <c r="AC29" s="72"/>
      <c r="AD29" s="73"/>
      <c r="AE29" s="33"/>
      <c r="AF29" s="33"/>
      <c r="AG29" s="33"/>
    </row>
    <row r="30" spans="1:33">
      <c r="A30" s="33">
        <v>23</v>
      </c>
      <c r="B30" s="58">
        <v>40969</v>
      </c>
      <c r="C30" s="77"/>
      <c r="D30" s="60">
        <v>1752079.1547400001</v>
      </c>
      <c r="E30" s="75">
        <v>71446.654160000006</v>
      </c>
      <c r="F30" s="61" t="str">
        <f t="shared" si="10"/>
        <v>sans Dp</v>
      </c>
      <c r="G30" s="62" t="str">
        <f t="shared" si="7"/>
        <v>Hammamet 80 logts</v>
      </c>
      <c r="H30" s="63" t="str">
        <f t="shared" si="8"/>
        <v>Entreprise MMTB</v>
      </c>
      <c r="I30" s="63" t="str">
        <f t="shared" si="1"/>
        <v>Genie Civil</v>
      </c>
      <c r="J30" s="64" t="str">
        <f t="shared" si="2"/>
        <v>s</v>
      </c>
      <c r="K30" s="76"/>
      <c r="L30" s="66" t="str">
        <f t="shared" si="3"/>
        <v xml:space="preserve"> </v>
      </c>
      <c r="M30" s="33"/>
      <c r="N30" s="67"/>
      <c r="O30" s="59"/>
      <c r="P30" s="59">
        <f t="shared" si="4"/>
        <v>0</v>
      </c>
      <c r="Q30" s="68">
        <f t="shared" si="5"/>
        <v>0</v>
      </c>
      <c r="R30" s="69">
        <f t="shared" si="9"/>
        <v>31</v>
      </c>
      <c r="S30">
        <f>IF(J30="s",SUMPRODUCT(($J$8:J30="s")*1)*1,0)</f>
        <v>8</v>
      </c>
      <c r="U30" s="59">
        <f>IF(U29=0,(IF(COUNTIF(J28:J29,"s")=2,IFERROR(F30-B28+1,0),IF(COUNTIF(J28:J29,"s")=1,IFERROR(F30-B29+1,0),IF(COUNTIF(J28:J29,"s")=0,IFERROR(F30-B30+1,0),0)))),IFERROR(F30-B30+1,0))</f>
        <v>0</v>
      </c>
      <c r="V30" s="70"/>
      <c r="W30" s="71"/>
      <c r="X30" s="67">
        <f t="shared" si="6"/>
        <v>0</v>
      </c>
      <c r="Y30" s="67"/>
      <c r="Z30" s="33"/>
      <c r="AA30" s="33"/>
      <c r="AB30" s="33"/>
      <c r="AC30" s="72"/>
      <c r="AD30" s="73"/>
      <c r="AE30" s="33"/>
      <c r="AF30" s="33"/>
      <c r="AG30" s="33"/>
    </row>
    <row r="31" spans="1:33">
      <c r="A31" s="33">
        <v>24</v>
      </c>
      <c r="B31" s="58">
        <v>41000</v>
      </c>
      <c r="C31" s="59"/>
      <c r="D31" s="60">
        <v>1752079.1547400001</v>
      </c>
      <c r="E31" s="75">
        <v>54800.144</v>
      </c>
      <c r="F31" s="61" t="str">
        <f t="shared" si="10"/>
        <v>sans Dp</v>
      </c>
      <c r="G31" s="62" t="str">
        <f t="shared" si="7"/>
        <v>Hammamet 80 logts</v>
      </c>
      <c r="H31" s="63" t="str">
        <f t="shared" si="8"/>
        <v>Entreprise MMTB</v>
      </c>
      <c r="I31" s="63" t="str">
        <f t="shared" si="1"/>
        <v>Genie Civil</v>
      </c>
      <c r="J31" s="64" t="str">
        <f t="shared" si="2"/>
        <v>s</v>
      </c>
      <c r="K31" s="76"/>
      <c r="L31" s="66" t="str">
        <f t="shared" si="3"/>
        <v xml:space="preserve"> </v>
      </c>
      <c r="M31" s="33"/>
      <c r="N31" s="67"/>
      <c r="O31" s="59"/>
      <c r="P31" s="59">
        <f t="shared" si="4"/>
        <v>0</v>
      </c>
      <c r="Q31" s="68">
        <f t="shared" si="5"/>
        <v>0</v>
      </c>
      <c r="R31" s="69">
        <f t="shared" si="9"/>
        <v>30</v>
      </c>
      <c r="S31">
        <f>IF(J31="s",SUMPRODUCT(($J$8:J31="s")*1)*1,0)</f>
        <v>9</v>
      </c>
      <c r="U31" s="59">
        <f>IF(U30=0,(IF(COUNTIF(J29:J30,"s")=2,IFERROR(F31-B29+1,0),IF(COUNTIF(J29:J30,"s")=1,IFERROR(F31-B30+1,0),IF(COUNTIF(J29:J30,"s")=0,IFERROR(F31-B31+1,0),0)))),IFERROR(F31-B31+1,0))</f>
        <v>0</v>
      </c>
      <c r="V31" s="70"/>
      <c r="W31" s="71"/>
      <c r="X31" s="67">
        <f t="shared" si="6"/>
        <v>0</v>
      </c>
      <c r="Y31" s="78" t="s">
        <v>33</v>
      </c>
      <c r="Z31" s="67">
        <f>160000/5</f>
        <v>32000</v>
      </c>
      <c r="AA31" s="67">
        <f>SUM($Z$31:Z31)</f>
        <v>32000</v>
      </c>
      <c r="AB31" s="33"/>
      <c r="AC31" s="72"/>
      <c r="AD31" s="73"/>
      <c r="AE31" s="33"/>
      <c r="AF31" s="33"/>
      <c r="AG31" s="33"/>
    </row>
    <row r="32" spans="1:33">
      <c r="A32" s="33">
        <v>25</v>
      </c>
      <c r="B32" s="58">
        <v>41030</v>
      </c>
      <c r="C32" s="59"/>
      <c r="D32" s="60">
        <v>2021438.5677599998</v>
      </c>
      <c r="E32" s="75">
        <v>32947.506880000001</v>
      </c>
      <c r="F32" s="61">
        <f t="shared" si="10"/>
        <v>41060</v>
      </c>
      <c r="G32" s="62" t="str">
        <f t="shared" si="7"/>
        <v>Hammamet 80 logts</v>
      </c>
      <c r="H32" s="63" t="str">
        <f t="shared" si="8"/>
        <v>Entreprise MMTB</v>
      </c>
      <c r="I32" s="63" t="str">
        <f t="shared" si="1"/>
        <v>Genie Civil</v>
      </c>
      <c r="J32" s="64">
        <f t="shared" si="2"/>
        <v>16</v>
      </c>
      <c r="K32" s="76"/>
      <c r="L32" s="66" t="str">
        <f t="shared" si="3"/>
        <v xml:space="preserve"> </v>
      </c>
      <c r="M32" s="33"/>
      <c r="N32" s="67"/>
      <c r="O32" s="59"/>
      <c r="P32" s="59">
        <f t="shared" si="4"/>
        <v>0</v>
      </c>
      <c r="Q32" s="68">
        <f t="shared" si="5"/>
        <v>269359.41301999963</v>
      </c>
      <c r="R32" s="69">
        <f t="shared" si="9"/>
        <v>31</v>
      </c>
      <c r="S32">
        <f>IF(J32="s",SUMPRODUCT(($J$8:J32="s")*1)*1,0)</f>
        <v>0</v>
      </c>
      <c r="U32" s="59">
        <f>IF(U31=0,(IF(COUNTIF(J30:J31,"s")=2,IFERROR(F32-B30+1,0),IF(COUNTIF(J30:J31,"s")=1,IFERROR(F32-B31+1,0),IF(COUNTIF(J30:J31,"s")=0,IFERROR(F32-B32+1,0),0)))),IFERROR(F32-B32+1,0))</f>
        <v>92</v>
      </c>
      <c r="V32" s="70"/>
      <c r="W32" s="71"/>
      <c r="X32" s="67">
        <f t="shared" si="6"/>
        <v>247506.77589999963</v>
      </c>
      <c r="Y32" s="78" t="s">
        <v>33</v>
      </c>
      <c r="Z32" s="67">
        <f>160000/5</f>
        <v>32000</v>
      </c>
      <c r="AA32" s="67">
        <f>SUM($Z$31:Z32)</f>
        <v>64000</v>
      </c>
      <c r="AB32" s="33"/>
      <c r="AC32" s="72"/>
      <c r="AD32" s="73"/>
      <c r="AE32" s="33"/>
      <c r="AF32" s="33"/>
      <c r="AG32" s="33"/>
    </row>
    <row r="33" spans="1:33">
      <c r="A33" s="33">
        <v>26</v>
      </c>
      <c r="B33" s="58">
        <v>41061</v>
      </c>
      <c r="C33" s="59"/>
      <c r="D33" s="60">
        <v>2095431.6640000001</v>
      </c>
      <c r="E33" s="75">
        <v>14721.396799999999</v>
      </c>
      <c r="F33" s="61">
        <f t="shared" si="10"/>
        <v>41090</v>
      </c>
      <c r="G33" s="62" t="str">
        <f t="shared" si="7"/>
        <v>Hammamet 80 logts</v>
      </c>
      <c r="H33" s="63" t="str">
        <f t="shared" si="8"/>
        <v>Entreprise MMTB</v>
      </c>
      <c r="I33" s="63" t="str">
        <f t="shared" si="1"/>
        <v>Genie Civil</v>
      </c>
      <c r="J33" s="64">
        <f t="shared" si="2"/>
        <v>17</v>
      </c>
      <c r="K33" s="76"/>
      <c r="L33" s="66" t="str">
        <f t="shared" si="3"/>
        <v xml:space="preserve"> </v>
      </c>
      <c r="M33" s="33"/>
      <c r="N33" s="67"/>
      <c r="O33" s="59"/>
      <c r="P33" s="59">
        <f t="shared" si="4"/>
        <v>0</v>
      </c>
      <c r="Q33" s="68">
        <f t="shared" si="5"/>
        <v>73993.096240000334</v>
      </c>
      <c r="R33" s="69">
        <f t="shared" si="9"/>
        <v>30</v>
      </c>
      <c r="S33">
        <f>IF(J33="s",SUMPRODUCT(($J$8:J33="s")*1)*1,0)</f>
        <v>0</v>
      </c>
      <c r="U33" s="59">
        <f>IF(U32=0,(IF(COUNTIF(J31:J32,"s")=2,IFERROR(F33-B31+1,0),IF(COUNTIF(J31:J32,"s")=1,IFERROR(F33-B32+1,0),IF(COUNTIF(J31:J32,"s")=0,IFERROR(F33-B33+1,0),0)))),IFERROR(F33-B33+1,0))</f>
        <v>30</v>
      </c>
      <c r="V33" s="70"/>
      <c r="W33" s="71"/>
      <c r="X33" s="67">
        <f t="shared" si="6"/>
        <v>55766.986160000335</v>
      </c>
      <c r="Y33" s="78" t="s">
        <v>33</v>
      </c>
      <c r="Z33" s="67">
        <f>160000/5</f>
        <v>32000</v>
      </c>
      <c r="AA33" s="67">
        <f>SUM($Z$31:Z33)</f>
        <v>96000</v>
      </c>
      <c r="AB33" s="33"/>
      <c r="AC33" s="72"/>
      <c r="AD33" s="73"/>
      <c r="AE33" s="33"/>
      <c r="AF33" s="33"/>
      <c r="AG33" s="33"/>
    </row>
    <row r="34" spans="1:33">
      <c r="A34" s="33">
        <v>27</v>
      </c>
      <c r="B34" s="58">
        <v>41091</v>
      </c>
      <c r="C34" s="59"/>
      <c r="D34" s="60">
        <f>1952536.852*1.18</f>
        <v>2303993.4853599998</v>
      </c>
      <c r="E34" s="75">
        <v>0</v>
      </c>
      <c r="F34" s="61">
        <f t="shared" si="10"/>
        <v>41121</v>
      </c>
      <c r="G34" s="62" t="str">
        <f t="shared" si="7"/>
        <v>Hammamet 80 logts</v>
      </c>
      <c r="H34" s="63" t="str">
        <f t="shared" si="8"/>
        <v>Entreprise MMTB</v>
      </c>
      <c r="I34" s="63" t="str">
        <f t="shared" si="1"/>
        <v>Genie Civil</v>
      </c>
      <c r="J34" s="64">
        <f t="shared" si="2"/>
        <v>18</v>
      </c>
      <c r="K34" s="76"/>
      <c r="L34" s="66" t="str">
        <f t="shared" si="3"/>
        <v xml:space="preserve"> </v>
      </c>
      <c r="M34" s="33"/>
      <c r="N34" s="67"/>
      <c r="O34" s="59"/>
      <c r="P34" s="59">
        <f t="shared" si="4"/>
        <v>0</v>
      </c>
      <c r="Q34" s="68">
        <f t="shared" si="5"/>
        <v>208561.82135999971</v>
      </c>
      <c r="R34" s="69">
        <f t="shared" si="9"/>
        <v>31</v>
      </c>
      <c r="S34">
        <f>IF(J34="s",SUMPRODUCT(($J$8:J34="s")*1)*1,0)</f>
        <v>0</v>
      </c>
      <c r="U34" s="59">
        <f>IF(U33=0,(IF(COUNTIF(J32:J33,"s")=2,IFERROR(F34-B32+1,0),IF(COUNTIF(J32:J33,"s")=1,IFERROR(F34-B33+1,0),IF(COUNTIF(J32:J33,"s")=0,IFERROR(F34-B34+1,0),0)))),IFERROR(F34-B34+1,0))</f>
        <v>31</v>
      </c>
      <c r="V34" s="70"/>
      <c r="W34" s="71"/>
      <c r="X34" s="67">
        <f t="shared" si="6"/>
        <v>193840.42455999972</v>
      </c>
      <c r="Y34" s="78" t="s">
        <v>33</v>
      </c>
      <c r="Z34" s="67">
        <f>160000/5</f>
        <v>32000</v>
      </c>
      <c r="AA34" s="67">
        <f>SUM($Z$31:Z34)</f>
        <v>128000</v>
      </c>
      <c r="AB34" s="33"/>
      <c r="AC34" s="72"/>
      <c r="AD34" s="73"/>
      <c r="AE34" s="33"/>
      <c r="AF34" s="33"/>
      <c r="AG34" s="33"/>
    </row>
    <row r="35" spans="1:33">
      <c r="A35" s="33">
        <v>28</v>
      </c>
      <c r="B35" s="58">
        <v>41122</v>
      </c>
      <c r="C35" s="59"/>
      <c r="D35" s="60">
        <f>1952536.852*1.18</f>
        <v>2303993.4853599998</v>
      </c>
      <c r="E35" s="75">
        <v>0</v>
      </c>
      <c r="F35" s="61" t="str">
        <f t="shared" si="10"/>
        <v>sans Dp</v>
      </c>
      <c r="G35" s="62" t="str">
        <f t="shared" si="7"/>
        <v>Hammamet 80 logts</v>
      </c>
      <c r="H35" s="63" t="str">
        <f t="shared" si="8"/>
        <v>Entreprise MMTB</v>
      </c>
      <c r="I35" s="63" t="str">
        <f t="shared" si="1"/>
        <v>Genie Civil</v>
      </c>
      <c r="J35" s="64" t="str">
        <f t="shared" si="2"/>
        <v>s</v>
      </c>
      <c r="K35" s="76"/>
      <c r="L35" s="66" t="str">
        <f t="shared" si="3"/>
        <v xml:space="preserve"> </v>
      </c>
      <c r="M35" s="33"/>
      <c r="N35" s="67"/>
      <c r="O35" s="59"/>
      <c r="P35" s="59">
        <f t="shared" si="4"/>
        <v>0</v>
      </c>
      <c r="Q35" s="68">
        <f t="shared" si="5"/>
        <v>0</v>
      </c>
      <c r="R35" s="69">
        <f t="shared" si="9"/>
        <v>31</v>
      </c>
      <c r="S35">
        <f>IF(J35="s",SUMPRODUCT(($J$8:J35="s")*1)*1,0)</f>
        <v>10</v>
      </c>
      <c r="U35" s="59">
        <f>IF(U34=0,(IF(COUNTIF(J33:J34,"s")=2,IFERROR(F35-B33+1,0),IF(COUNTIF(J33:J34,"s")=1,IFERROR(F35-B34+1,0),IF(COUNTIF(J33:J34,"s")=0,IFERROR(F35-B35+1,0),0)))),IFERROR(F35-B35+1,0))</f>
        <v>0</v>
      </c>
      <c r="V35" s="70"/>
      <c r="W35" s="71"/>
      <c r="X35" s="67">
        <f t="shared" si="6"/>
        <v>0</v>
      </c>
      <c r="Y35" s="78" t="s">
        <v>33</v>
      </c>
      <c r="Z35" s="67">
        <f>160000/5</f>
        <v>32000</v>
      </c>
      <c r="AA35" s="67">
        <f>SUM($Z$31:Z35)</f>
        <v>160000</v>
      </c>
      <c r="AB35" s="33"/>
      <c r="AC35" s="72"/>
      <c r="AD35" s="73"/>
      <c r="AE35" s="33"/>
      <c r="AF35" s="33"/>
      <c r="AG35" s="33"/>
    </row>
    <row r="36" spans="1:33">
      <c r="A36" s="33">
        <v>29</v>
      </c>
      <c r="B36" s="58">
        <v>41153</v>
      </c>
      <c r="C36" s="59"/>
      <c r="D36" s="60">
        <f>2015454.203*1.18</f>
        <v>2378235.9595399997</v>
      </c>
      <c r="E36" s="75">
        <v>0</v>
      </c>
      <c r="F36" s="61">
        <f t="shared" si="10"/>
        <v>41182</v>
      </c>
      <c r="G36" s="62" t="str">
        <f t="shared" si="7"/>
        <v>Hammamet 80 logts</v>
      </c>
      <c r="H36" s="63" t="str">
        <f t="shared" si="8"/>
        <v>Entreprise MMTB</v>
      </c>
      <c r="I36" s="63" t="str">
        <f t="shared" si="1"/>
        <v>Genie Civil</v>
      </c>
      <c r="J36" s="64">
        <f t="shared" si="2"/>
        <v>19</v>
      </c>
      <c r="K36" s="76"/>
      <c r="L36" s="66" t="str">
        <f t="shared" si="3"/>
        <v xml:space="preserve"> </v>
      </c>
      <c r="M36" s="33"/>
      <c r="N36" s="67"/>
      <c r="O36" s="59"/>
      <c r="P36" s="59">
        <f t="shared" si="4"/>
        <v>0</v>
      </c>
      <c r="Q36" s="68">
        <f t="shared" si="5"/>
        <v>74242.474179999903</v>
      </c>
      <c r="R36" s="69">
        <f t="shared" si="9"/>
        <v>30</v>
      </c>
      <c r="S36">
        <f>IF(J36="s",SUMPRODUCT(($J$8:J36="s")*1)*1,0)</f>
        <v>0</v>
      </c>
      <c r="U36" s="59">
        <f>IF(U35=0,(IF(COUNTIF(J34:J35,"s")=2,IFERROR(F36-B34+1,0),IF(COUNTIF(J34:J35,"s")=1,IFERROR(F36-B35+1,0),IF(COUNTIF(J34:J35,"s")=0,IFERROR(F36-B36+1,0),0)))),IFERROR(F36-B36+1,0))</f>
        <v>61</v>
      </c>
      <c r="V36" s="70"/>
      <c r="W36" s="71"/>
      <c r="X36" s="67">
        <f t="shared" si="6"/>
        <v>74242.474179999903</v>
      </c>
      <c r="Y36" s="78"/>
      <c r="Z36" s="67"/>
      <c r="AA36" s="67"/>
      <c r="AB36" s="33"/>
      <c r="AC36" s="72"/>
      <c r="AD36" s="73"/>
      <c r="AE36" s="33"/>
      <c r="AF36" s="33"/>
      <c r="AG36" s="33"/>
    </row>
    <row r="37" spans="1:33">
      <c r="A37" s="33">
        <v>30</v>
      </c>
      <c r="B37" s="58">
        <v>41183</v>
      </c>
      <c r="C37" s="59"/>
      <c r="D37" s="60">
        <f>2015454.203*1.18</f>
        <v>2378235.9595399997</v>
      </c>
      <c r="E37" s="75">
        <v>0</v>
      </c>
      <c r="F37" s="61" t="str">
        <f t="shared" si="10"/>
        <v>sans Dp</v>
      </c>
      <c r="G37" s="62" t="str">
        <f t="shared" si="7"/>
        <v>Hammamet 80 logts</v>
      </c>
      <c r="H37" s="63" t="str">
        <f t="shared" si="8"/>
        <v>Entreprise MMTB</v>
      </c>
      <c r="I37" s="63" t="str">
        <f t="shared" si="1"/>
        <v>Genie Civil</v>
      </c>
      <c r="J37" s="64" t="str">
        <f t="shared" si="2"/>
        <v>s</v>
      </c>
      <c r="K37" s="76"/>
      <c r="L37" s="66" t="str">
        <f t="shared" si="3"/>
        <v xml:space="preserve"> </v>
      </c>
      <c r="M37" s="33"/>
      <c r="N37" s="67"/>
      <c r="O37" s="59"/>
      <c r="P37" s="59">
        <f t="shared" si="4"/>
        <v>0</v>
      </c>
      <c r="Q37" s="68">
        <f t="shared" si="5"/>
        <v>0</v>
      </c>
      <c r="R37" s="69">
        <f t="shared" si="9"/>
        <v>31</v>
      </c>
      <c r="S37">
        <f>IF(J37="s",SUMPRODUCT(($J$8:J37="s")*1)*1,0)</f>
        <v>11</v>
      </c>
      <c r="U37" s="59">
        <f>IF(U36=0,(IF(COUNTIF(J35:J36,"s")=2,IFERROR(F37-B35+1,0),IF(COUNTIF(J35:J36,"s")=1,IFERROR(F37-B36+1,0),IF(COUNTIF(J35:J36,"s")=0,IFERROR(F37-B37+1,0),0)))),IFERROR(F37-B37+1,0))</f>
        <v>0</v>
      </c>
      <c r="V37" s="70"/>
      <c r="W37" s="71"/>
      <c r="X37" s="67">
        <f t="shared" si="6"/>
        <v>0</v>
      </c>
      <c r="Y37" s="78"/>
      <c r="Z37" s="67"/>
      <c r="AA37" s="67"/>
      <c r="AB37" s="33"/>
      <c r="AC37" s="72"/>
      <c r="AD37" s="73"/>
      <c r="AE37" s="33"/>
      <c r="AF37" s="33"/>
      <c r="AG37" s="33"/>
    </row>
    <row r="38" spans="1:33">
      <c r="A38" s="33">
        <v>31</v>
      </c>
      <c r="B38" s="58">
        <v>41214</v>
      </c>
      <c r="C38" s="59"/>
      <c r="D38" s="60">
        <f>2073448.532*1.18</f>
        <v>2446669.2677599997</v>
      </c>
      <c r="E38" s="75">
        <v>0</v>
      </c>
      <c r="F38" s="61">
        <f t="shared" si="10"/>
        <v>41243</v>
      </c>
      <c r="G38" s="62" t="str">
        <f t="shared" si="7"/>
        <v>Hammamet 80 logts</v>
      </c>
      <c r="H38" s="63" t="str">
        <f t="shared" si="8"/>
        <v>Entreprise MMTB</v>
      </c>
      <c r="I38" s="63" t="str">
        <f t="shared" si="1"/>
        <v>Genie Civil</v>
      </c>
      <c r="J38" s="64">
        <f t="shared" si="2"/>
        <v>20</v>
      </c>
      <c r="K38" s="76"/>
      <c r="L38" s="66" t="str">
        <f t="shared" si="3"/>
        <v>*</v>
      </c>
      <c r="M38" s="33"/>
      <c r="N38" s="67"/>
      <c r="O38" s="59"/>
      <c r="P38" s="59">
        <f t="shared" si="4"/>
        <v>0</v>
      </c>
      <c r="Q38" s="68">
        <f t="shared" si="5"/>
        <v>68433.308220000006</v>
      </c>
      <c r="R38" s="69">
        <f t="shared" si="9"/>
        <v>30</v>
      </c>
      <c r="S38">
        <f>IF(J38="s",SUMPRODUCT(($J$8:J38="s")*1)*1,0)</f>
        <v>0</v>
      </c>
      <c r="U38" s="59">
        <f>IF(U37=0,(IF(COUNTIF(J36:J37,"s")=2,IFERROR(F38-B36+1,0),IF(COUNTIF(J36:J37,"s")=1,IFERROR(F38-B37+1,0),IF(COUNTIF(J36:J37,"s")=0,IFERROR(F38-B38+1,0),0)))),IFERROR(F38-B38+1,0))</f>
        <v>61</v>
      </c>
      <c r="V38" s="70"/>
      <c r="W38" s="71"/>
      <c r="X38" s="67">
        <f t="shared" si="6"/>
        <v>68433.308220000006</v>
      </c>
      <c r="Y38" s="78"/>
      <c r="Z38" s="67"/>
      <c r="AA38" s="67"/>
      <c r="AB38" s="79"/>
      <c r="AC38" s="72"/>
      <c r="AD38" s="73"/>
      <c r="AE38" s="33"/>
      <c r="AF38" s="33"/>
      <c r="AG38" s="33"/>
    </row>
    <row r="39" spans="1:33">
      <c r="A39" s="33">
        <v>32</v>
      </c>
      <c r="B39" s="58">
        <v>41244</v>
      </c>
      <c r="C39" s="59"/>
      <c r="D39" s="60"/>
      <c r="E39" s="75"/>
      <c r="F39" s="61" t="str">
        <f t="shared" si="10"/>
        <v>sans Dp</v>
      </c>
      <c r="G39" s="62" t="str">
        <f t="shared" si="7"/>
        <v>Hammamet 80 logts</v>
      </c>
      <c r="H39" s="63" t="str">
        <f t="shared" si="8"/>
        <v>Entreprise MMTB</v>
      </c>
      <c r="I39" s="63" t="str">
        <f t="shared" si="1"/>
        <v>Genie Civil</v>
      </c>
      <c r="J39" s="64" t="str">
        <f t="shared" si="2"/>
        <v>s</v>
      </c>
      <c r="K39" s="80"/>
      <c r="L39" s="66" t="str">
        <f t="shared" si="3"/>
        <v xml:space="preserve"> </v>
      </c>
      <c r="M39" s="33"/>
      <c r="N39" s="67"/>
      <c r="O39" s="59"/>
      <c r="P39" s="59">
        <f t="shared" si="4"/>
        <v>0</v>
      </c>
      <c r="Q39" s="68">
        <f t="shared" si="5"/>
        <v>0</v>
      </c>
      <c r="R39" s="69">
        <f t="shared" si="9"/>
        <v>31</v>
      </c>
      <c r="S39">
        <f>IF(J39="s",SUMPRODUCT(($J$8:J39="s")*1)*1,0)</f>
        <v>12</v>
      </c>
      <c r="U39" s="59">
        <f>IF(U38=0,(IF(COUNTIF(J37:J38,"s")=2,IFERROR(F39-B37+1,0),IF(COUNTIF(J37:J38,"s")=1,IFERROR(F39-B38+1,0),IF(COUNTIF(J37:J38,"s")=0,IFERROR(F39-B39+1,0),0)))),IFERROR(F39-B39+1,0))</f>
        <v>0</v>
      </c>
      <c r="V39" s="70"/>
      <c r="W39" s="71"/>
      <c r="X39" s="67">
        <f t="shared" si="6"/>
        <v>0</v>
      </c>
      <c r="Y39" s="78"/>
      <c r="Z39" s="67"/>
      <c r="AA39" s="67"/>
      <c r="AB39" s="33"/>
      <c r="AC39" s="72"/>
      <c r="AD39" s="73"/>
      <c r="AE39" s="33"/>
      <c r="AF39" s="33"/>
      <c r="AG39" s="33"/>
    </row>
    <row r="40" spans="1:33">
      <c r="U40" s="84"/>
    </row>
    <row r="41" spans="1:33">
      <c r="U41" s="84"/>
    </row>
    <row r="42" spans="1:33">
      <c r="U42" s="84"/>
    </row>
    <row r="43" spans="1:33">
      <c r="U43" s="84"/>
    </row>
    <row r="44" spans="1:33">
      <c r="U44" s="84"/>
    </row>
  </sheetData>
  <conditionalFormatting sqref="F7">
    <cfRule type="expression" dxfId="32" priority="22" stopIfTrue="1">
      <formula>$F$8</formula>
    </cfRule>
  </conditionalFormatting>
  <conditionalFormatting sqref="F8:F39">
    <cfRule type="cellIs" dxfId="31" priority="21" stopIfTrue="1" operator="equal">
      <formula>"sans Dp"</formula>
    </cfRule>
  </conditionalFormatting>
  <conditionalFormatting sqref="J1:J39">
    <cfRule type="cellIs" dxfId="30" priority="19" stopIfTrue="1" operator="equal">
      <formula>"s"</formula>
    </cfRule>
    <cfRule type="cellIs" dxfId="29" priority="20" stopIfTrue="1" operator="notEqual">
      <formula>"s"</formula>
    </cfRule>
  </conditionalFormatting>
  <conditionalFormatting sqref="Q8:R39">
    <cfRule type="cellIs" dxfId="28" priority="17" stopIfTrue="1" operator="equal">
      <formula>0</formula>
    </cfRule>
    <cfRule type="cellIs" dxfId="27" priority="18" stopIfTrue="1" operator="equal">
      <formula>D8</formula>
    </cfRule>
  </conditionalFormatting>
  <conditionalFormatting sqref="L7:L39">
    <cfRule type="cellIs" dxfId="26" priority="16" stopIfTrue="1" operator="equal">
      <formula>"*"</formula>
    </cfRule>
  </conditionalFormatting>
  <conditionalFormatting sqref="D8:D39">
    <cfRule type="duplicateValues" dxfId="25" priority="15"/>
  </conditionalFormatting>
  <conditionalFormatting sqref="E8:E39">
    <cfRule type="duplicateValues" dxfId="24" priority="14"/>
  </conditionalFormatting>
  <conditionalFormatting sqref="U8:U39">
    <cfRule type="cellIs" dxfId="23" priority="12" stopIfTrue="1" operator="equal">
      <formula>0</formula>
    </cfRule>
    <cfRule type="cellIs" dxfId="22" priority="13" stopIfTrue="1" operator="equal">
      <formula>E8</formula>
    </cfRule>
  </conditionalFormatting>
  <conditionalFormatting sqref="F7">
    <cfRule type="expression" dxfId="21" priority="11" stopIfTrue="1">
      <formula>$F$8</formula>
    </cfRule>
  </conditionalFormatting>
  <conditionalFormatting sqref="F8:F39">
    <cfRule type="cellIs" dxfId="19" priority="10" stopIfTrue="1" operator="equal">
      <formula>"sans Dp"</formula>
    </cfRule>
  </conditionalFormatting>
  <conditionalFormatting sqref="J1:J39">
    <cfRule type="cellIs" dxfId="17" priority="8" stopIfTrue="1" operator="equal">
      <formula>"s"</formula>
    </cfRule>
    <cfRule type="cellIs" dxfId="16" priority="9" stopIfTrue="1" operator="notEqual">
      <formula>"s"</formula>
    </cfRule>
  </conditionalFormatting>
  <conditionalFormatting sqref="Q8:R39">
    <cfRule type="cellIs" dxfId="13" priority="6" stopIfTrue="1" operator="equal">
      <formula>0</formula>
    </cfRule>
    <cfRule type="cellIs" dxfId="12" priority="7" stopIfTrue="1" operator="equal">
      <formula>D8</formula>
    </cfRule>
  </conditionalFormatting>
  <conditionalFormatting sqref="L7:L39">
    <cfRule type="cellIs" dxfId="9" priority="5" stopIfTrue="1" operator="equal">
      <formula>"*"</formula>
    </cfRule>
  </conditionalFormatting>
  <conditionalFormatting sqref="D8:D39">
    <cfRule type="duplicateValues" dxfId="7" priority="4"/>
  </conditionalFormatting>
  <conditionalFormatting sqref="E8:E39">
    <cfRule type="duplicateValues" dxfId="5" priority="3"/>
  </conditionalFormatting>
  <conditionalFormatting sqref="U8:U39">
    <cfRule type="cellIs" dxfId="3" priority="1" stopIfTrue="1" operator="equal">
      <formula>0</formula>
    </cfRule>
    <cfRule type="cellIs" dxfId="2" priority="2" stopIfTrue="1" operator="equal">
      <formula>E8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Feuil2</vt:lpstr>
      <vt:lpstr>Feuil3</vt:lpstr>
      <vt:lpstr>N___DP</vt:lpstr>
    </vt:vector>
  </TitlesOfParts>
  <Company>CHARFI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CHARFI</dc:creator>
  <cp:lastModifiedBy>CHARFI</cp:lastModifiedBy>
  <dcterms:created xsi:type="dcterms:W3CDTF">2011-07-18T17:51:48Z</dcterms:created>
  <dcterms:modified xsi:type="dcterms:W3CDTF">2011-07-18T18:07:09Z</dcterms:modified>
</cp:coreProperties>
</file>