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BC\Desktop\"/>
    </mc:Choice>
  </mc:AlternateContent>
  <bookViews>
    <workbookView xWindow="0" yWindow="0" windowWidth="24000" windowHeight="9735" firstSheet="2" activeTab="5"/>
  </bookViews>
  <sheets>
    <sheet name="Cool'emprunt" sheetId="1" r:id="rId1"/>
    <sheet name="Guide_d'utilisation" sheetId="2" r:id="rId2"/>
    <sheet name="BASE_INFORMATION" sheetId="3" r:id="rId3"/>
    <sheet name="TABL-AMORT-EMPR_-5ans" sheetId="5" r:id="rId4"/>
    <sheet name="TABl-Amort-Annuel-Emprt" sheetId="4" r:id="rId5"/>
    <sheet name="PARTIE_etude et strategie" sheetId="6" r:id="rId6"/>
    <sheet name="Cout total Projet" sheetId="44" r:id="rId7"/>
    <sheet name="Amorts_5ans_immobilisations" sheetId="45" r:id="rId8"/>
    <sheet name="Page de garde_Exploitation" sheetId="7" r:id="rId9"/>
    <sheet name="Page de garde_Chiffre_d'affaire" sheetId="8" r:id="rId10"/>
    <sheet name="Chifre d'affaire-mens_anné_N" sheetId="9" r:id="rId11"/>
    <sheet name="page de garde Charge_d'expl" sheetId="11" r:id="rId12"/>
    <sheet name="Charge d'exploit_anné N" sheetId="12" r:id="rId13"/>
    <sheet name="page de garde_Compte_d'expl" sheetId="14" r:id="rId14"/>
    <sheet name="Compte-d'exploitat-anné_N" sheetId="15" r:id="rId15"/>
    <sheet name="page de garde_Prevision_d'expl" sheetId="17" r:id="rId16"/>
    <sheet name="Avant_propos_Previs" sheetId="18" r:id="rId17"/>
    <sheet name="Detail_Chiffr d'affair-Previsl" sheetId="52" r:id="rId18"/>
    <sheet name="Detail charge d'exploit_previsl" sheetId="47" r:id="rId19"/>
    <sheet name="CA_annuel_PREVISL" sheetId="19" r:id="rId20"/>
    <sheet name="Feuil5" sheetId="20" state="hidden" r:id="rId21"/>
    <sheet name="Charg-annuel_EXPL-PREVSL" sheetId="21" r:id="rId22"/>
    <sheet name="Compte-annuel_EXPL-PREVSL" sheetId="22" r:id="rId23"/>
    <sheet name="Prevision_financière" sheetId="23" r:id="rId24"/>
    <sheet name="Rapport_important" sheetId="24" r:id="rId25"/>
    <sheet name="PLAN_DE_TRESORERIE_mensuel" sheetId="30" r:id="rId26"/>
    <sheet name="Plan de tresorerie mensuel_5ans" sheetId="31" r:id="rId27"/>
    <sheet name="Plan_de_TRESR-annuel-PREVS" sheetId="25" r:id="rId28"/>
    <sheet name="Tableau Flux Net de Tresorerie" sheetId="57" r:id="rId29"/>
    <sheet name="C.A.F" sheetId="54" r:id="rId30"/>
    <sheet name="VAN-TIR-DRCI-TRC-IP" sheetId="56" r:id="rId31"/>
    <sheet name="B.F.R" sheetId="55" r:id="rId32"/>
    <sheet name="Seuil de rentabilité" sheetId="48" r:id="rId33"/>
    <sheet name="ETATS_ANNEXES" sheetId="27" r:id="rId34"/>
    <sheet name="PRO_FORMA" sheetId="28" r:id="rId35"/>
    <sheet name="GARANTIE_apporté" sheetId="26" r:id="rId36"/>
    <sheet name="NOS_REFERENCES" sheetId="29" r:id="rId37"/>
    <sheet name="DOCUMENTS_ADMINISTRATIVES" sheetId="41" r:id="rId38"/>
    <sheet name="TABL-AMORT-EMPR_-1_an_" sheetId="42" state="hidden" r:id="rId39"/>
    <sheet name="TABL-AMORT-EMPR_-3ans_" sheetId="43" state="hidden" r:id="rId40"/>
  </sheets>
  <definedNames>
    <definedName name="_xlnm.Print_Area" localSheetId="16">Avant_propos_Previs!A1:G31</definedName>
    <definedName name="_xlnm.Print_Area" localSheetId="37">DOCUMENTS_ADMINISTRATIVES!A1:G39</definedName>
    <definedName name="_xlnm.Print_Area" localSheetId="33">ETATS_ANNEXES!A1:F37</definedName>
    <definedName name="_xlnm.Print_Area" localSheetId="35">GARANTIE_apporté!A1:E37</definedName>
    <definedName name="_xlnm.Print_Area" localSheetId="36">NOS_REFERENCES!A1:F40</definedName>
    <definedName name="_xlnm.Print_Area" localSheetId="8">'Page de garde_Exploitation'!A1:D31</definedName>
    <definedName name="_xlnm.Print_Area" localSheetId="5">'PARTIE_etude et strategie'!A1:A425</definedName>
    <definedName name="_xlnm.Print_Area" localSheetId="25">PLAN_DE_TRESORERIE_mensuel!A1:G43</definedName>
    <definedName name="_xlnm.Print_Area" localSheetId="27">'Plan_de_TRESR-annuel-PREVS'!A2:H26</definedName>
    <definedName name="_xlnm.Print_Area" localSheetId="23">Prevision_financière!A1:G36</definedName>
    <definedName name="_xlnm.Print_Area" localSheetId="34">PRO_FORMA!A1:F36</definedName>
    <definedName name="_xlnm.Print_Area" localSheetId="24">Rapport_important!A1:F21</definedName>
  </definedNames>
  <calcPr calcId="152511"/>
  <fileRecoveryPr repairLoad="1"/>
</workbook>
</file>

<file path=xl/calcChain.xml><?xml version="1.0" encoding="utf-8"?>
<calcChain xmlns="http://schemas.openxmlformats.org/spreadsheetml/2006/main">
  <c r="D7" i="56" l="1"/>
  <c r="A23" i="21"/>
  <c r="A18" i="21"/>
  <c r="A12" i="21"/>
  <c r="A25" i="21"/>
  <c r="A26" i="21"/>
  <c r="A27" i="21"/>
  <c r="A24" i="21"/>
  <c r="A20" i="21"/>
  <c r="A21" i="21"/>
  <c r="A22" i="21"/>
  <c r="A19" i="21"/>
  <c r="A17" i="21"/>
  <c r="A14" i="21"/>
  <c r="A15" i="21"/>
  <c r="A16" i="21"/>
  <c r="A13" i="21"/>
  <c r="A11" i="21"/>
  <c r="A6" i="21"/>
  <c r="A7" i="21"/>
  <c r="A8" i="21"/>
  <c r="A9" i="21"/>
  <c r="A10" i="21"/>
  <c r="A5" i="21"/>
  <c r="C10" i="52"/>
  <c r="D10" i="52" s="1"/>
  <c r="C9" i="52"/>
  <c r="D9" i="52" s="1"/>
  <c r="C8" i="52"/>
  <c r="D8" i="52" s="1"/>
  <c r="B152" i="47"/>
  <c r="C152" i="47" s="1"/>
  <c r="B151" i="47"/>
  <c r="B147" i="47"/>
  <c r="B148" i="47"/>
  <c r="B146" i="47"/>
  <c r="B141" i="47"/>
  <c r="B142" i="47"/>
  <c r="B143" i="47"/>
  <c r="B140" i="47"/>
  <c r="B133" i="47"/>
  <c r="B134" i="47"/>
  <c r="B135" i="47"/>
  <c r="B136" i="47"/>
  <c r="C136" i="47" s="1"/>
  <c r="D136" i="47" s="1"/>
  <c r="B137" i="47"/>
  <c r="B132" i="47"/>
  <c r="B121" i="47"/>
  <c r="B120" i="47"/>
  <c r="B116" i="47"/>
  <c r="B117" i="47"/>
  <c r="C117" i="47" s="1"/>
  <c r="D117" i="47" s="1"/>
  <c r="E117" i="47" s="1"/>
  <c r="F117" i="47" s="1"/>
  <c r="G117" i="47" s="1"/>
  <c r="H117" i="47" s="1"/>
  <c r="I117" i="47" s="1"/>
  <c r="J117" i="47" s="1"/>
  <c r="K117" i="47" s="1"/>
  <c r="L117" i="47" s="1"/>
  <c r="M117" i="47" s="1"/>
  <c r="B115" i="47"/>
  <c r="B110" i="47"/>
  <c r="B111" i="47"/>
  <c r="B112" i="47"/>
  <c r="B109" i="47"/>
  <c r="B102" i="47"/>
  <c r="B103" i="47"/>
  <c r="B104" i="47"/>
  <c r="B105" i="47"/>
  <c r="C105" i="47" s="1"/>
  <c r="D105" i="47" s="1"/>
  <c r="B106" i="47"/>
  <c r="B101" i="47"/>
  <c r="B90" i="47"/>
  <c r="B89" i="47"/>
  <c r="B85" i="47"/>
  <c r="B86" i="47"/>
  <c r="B84" i="47"/>
  <c r="B79" i="47"/>
  <c r="B80" i="47"/>
  <c r="B81" i="47"/>
  <c r="C81" i="47" s="1"/>
  <c r="D81" i="47" s="1"/>
  <c r="B78" i="47"/>
  <c r="B71" i="47"/>
  <c r="B72" i="47"/>
  <c r="B73" i="47"/>
  <c r="B74" i="47"/>
  <c r="C74" i="47" s="1"/>
  <c r="D74" i="47" s="1"/>
  <c r="B75" i="47"/>
  <c r="B70" i="47"/>
  <c r="B59" i="47"/>
  <c r="B58" i="47"/>
  <c r="B54" i="47"/>
  <c r="B55" i="47"/>
  <c r="B53" i="47"/>
  <c r="B48" i="47"/>
  <c r="C48" i="47" s="1"/>
  <c r="B49" i="47"/>
  <c r="B50" i="47"/>
  <c r="B47" i="47"/>
  <c r="B40" i="47"/>
  <c r="B41" i="47"/>
  <c r="B42" i="47"/>
  <c r="B43" i="47"/>
  <c r="C43" i="47" s="1"/>
  <c r="D43" i="47" s="1"/>
  <c r="B44" i="47"/>
  <c r="B39" i="47"/>
  <c r="C151" i="47"/>
  <c r="D151" i="47" s="1"/>
  <c r="C121" i="47"/>
  <c r="D121" i="47" s="1"/>
  <c r="C120" i="47"/>
  <c r="D120" i="47" s="1"/>
  <c r="C90" i="47"/>
  <c r="D90" i="47" s="1"/>
  <c r="E90" i="47" s="1"/>
  <c r="F90" i="47" s="1"/>
  <c r="G90" i="47" s="1"/>
  <c r="H90" i="47" s="1"/>
  <c r="I90" i="47" s="1"/>
  <c r="J90" i="47" s="1"/>
  <c r="K90" i="47" s="1"/>
  <c r="L90" i="47" s="1"/>
  <c r="M90" i="47" s="1"/>
  <c r="C89" i="47"/>
  <c r="D89" i="47" s="1"/>
  <c r="C59" i="47"/>
  <c r="D59" i="47" s="1"/>
  <c r="E59" i="47" s="1"/>
  <c r="C58" i="47"/>
  <c r="D58" i="47" s="1"/>
  <c r="D148" i="47"/>
  <c r="E148" i="47" s="1"/>
  <c r="F148" i="47" s="1"/>
  <c r="G148" i="47" s="1"/>
  <c r="H148" i="47" s="1"/>
  <c r="I148" i="47" s="1"/>
  <c r="J148" i="47" s="1"/>
  <c r="K148" i="47" s="1"/>
  <c r="L148" i="47" s="1"/>
  <c r="M148" i="47" s="1"/>
  <c r="C148" i="47"/>
  <c r="C147" i="47"/>
  <c r="D147" i="47" s="1"/>
  <c r="C146" i="47"/>
  <c r="C116" i="47"/>
  <c r="D116" i="47" s="1"/>
  <c r="E116" i="47" s="1"/>
  <c r="F116" i="47" s="1"/>
  <c r="G116" i="47" s="1"/>
  <c r="H116" i="47" s="1"/>
  <c r="I116" i="47" s="1"/>
  <c r="J116" i="47" s="1"/>
  <c r="K116" i="47" s="1"/>
  <c r="L116" i="47" s="1"/>
  <c r="M116" i="47" s="1"/>
  <c r="C115" i="47"/>
  <c r="D86" i="47"/>
  <c r="E86" i="47" s="1"/>
  <c r="F86" i="47" s="1"/>
  <c r="G86" i="47" s="1"/>
  <c r="H86" i="47" s="1"/>
  <c r="I86" i="47" s="1"/>
  <c r="J86" i="47" s="1"/>
  <c r="K86" i="47" s="1"/>
  <c r="L86" i="47" s="1"/>
  <c r="M86" i="47" s="1"/>
  <c r="C86" i="47"/>
  <c r="C85" i="47"/>
  <c r="D85" i="47" s="1"/>
  <c r="E85" i="47" s="1"/>
  <c r="F85" i="47" s="1"/>
  <c r="G85" i="47" s="1"/>
  <c r="H85" i="47" s="1"/>
  <c r="I85" i="47" s="1"/>
  <c r="J85" i="47" s="1"/>
  <c r="K85" i="47" s="1"/>
  <c r="L85" i="47" s="1"/>
  <c r="M85" i="47" s="1"/>
  <c r="C84" i="47"/>
  <c r="D84" i="47" s="1"/>
  <c r="C55" i="47"/>
  <c r="D55" i="47" s="1"/>
  <c r="E55" i="47" s="1"/>
  <c r="C54" i="47"/>
  <c r="D54" i="47" s="1"/>
  <c r="C53" i="47"/>
  <c r="D53" i="47" s="1"/>
  <c r="E53" i="47" s="1"/>
  <c r="C143" i="47"/>
  <c r="D143" i="47" s="1"/>
  <c r="E143" i="47" s="1"/>
  <c r="F143" i="47" s="1"/>
  <c r="G143" i="47" s="1"/>
  <c r="H143" i="47" s="1"/>
  <c r="I143" i="47" s="1"/>
  <c r="J143" i="47" s="1"/>
  <c r="K143" i="47" s="1"/>
  <c r="L143" i="47" s="1"/>
  <c r="M143" i="47" s="1"/>
  <c r="C142" i="47"/>
  <c r="D142" i="47" s="1"/>
  <c r="E142" i="47" s="1"/>
  <c r="F142" i="47" s="1"/>
  <c r="G142" i="47" s="1"/>
  <c r="H142" i="47" s="1"/>
  <c r="I142" i="47" s="1"/>
  <c r="J142" i="47" s="1"/>
  <c r="K142" i="47" s="1"/>
  <c r="L142" i="47" s="1"/>
  <c r="M142" i="47" s="1"/>
  <c r="C141" i="47"/>
  <c r="D141" i="47" s="1"/>
  <c r="E141" i="47" s="1"/>
  <c r="F141" i="47" s="1"/>
  <c r="G141" i="47" s="1"/>
  <c r="H141" i="47" s="1"/>
  <c r="I141" i="47" s="1"/>
  <c r="J141" i="47" s="1"/>
  <c r="K141" i="47" s="1"/>
  <c r="L141" i="47" s="1"/>
  <c r="M141" i="47" s="1"/>
  <c r="C140" i="47"/>
  <c r="D140" i="47" s="1"/>
  <c r="E140" i="47" s="1"/>
  <c r="F140" i="47" s="1"/>
  <c r="G140" i="47" s="1"/>
  <c r="H140" i="47" s="1"/>
  <c r="I140" i="47" s="1"/>
  <c r="J140" i="47" s="1"/>
  <c r="K140" i="47" s="1"/>
  <c r="L140" i="47" s="1"/>
  <c r="M140" i="47" s="1"/>
  <c r="C112" i="47"/>
  <c r="D112" i="47" s="1"/>
  <c r="E112" i="47" s="1"/>
  <c r="F112" i="47" s="1"/>
  <c r="G112" i="47" s="1"/>
  <c r="H112" i="47" s="1"/>
  <c r="I112" i="47" s="1"/>
  <c r="J112" i="47" s="1"/>
  <c r="K112" i="47" s="1"/>
  <c r="L112" i="47" s="1"/>
  <c r="M112" i="47" s="1"/>
  <c r="C111" i="47"/>
  <c r="D111" i="47" s="1"/>
  <c r="E111" i="47" s="1"/>
  <c r="F111" i="47" s="1"/>
  <c r="G111" i="47" s="1"/>
  <c r="H111" i="47" s="1"/>
  <c r="I111" i="47" s="1"/>
  <c r="J111" i="47" s="1"/>
  <c r="K111" i="47" s="1"/>
  <c r="L111" i="47" s="1"/>
  <c r="M111" i="47" s="1"/>
  <c r="C110" i="47"/>
  <c r="D110" i="47" s="1"/>
  <c r="E110" i="47" s="1"/>
  <c r="F110" i="47" s="1"/>
  <c r="G110" i="47" s="1"/>
  <c r="H110" i="47" s="1"/>
  <c r="I110" i="47" s="1"/>
  <c r="J110" i="47" s="1"/>
  <c r="K110" i="47" s="1"/>
  <c r="L110" i="47" s="1"/>
  <c r="M110" i="47" s="1"/>
  <c r="C109" i="47"/>
  <c r="D109" i="47" s="1"/>
  <c r="E109" i="47" s="1"/>
  <c r="F109" i="47" s="1"/>
  <c r="G109" i="47" s="1"/>
  <c r="H109" i="47" s="1"/>
  <c r="I109" i="47" s="1"/>
  <c r="J109" i="47" s="1"/>
  <c r="K109" i="47" s="1"/>
  <c r="L109" i="47" s="1"/>
  <c r="M109" i="47" s="1"/>
  <c r="C87" i="47"/>
  <c r="C80" i="47"/>
  <c r="D80" i="47" s="1"/>
  <c r="E80" i="47" s="1"/>
  <c r="F80" i="47" s="1"/>
  <c r="G80" i="47" s="1"/>
  <c r="H80" i="47" s="1"/>
  <c r="I80" i="47" s="1"/>
  <c r="J80" i="47" s="1"/>
  <c r="K80" i="47" s="1"/>
  <c r="L80" i="47" s="1"/>
  <c r="M80" i="47" s="1"/>
  <c r="D79" i="47"/>
  <c r="C79" i="47"/>
  <c r="C78" i="47"/>
  <c r="C50" i="47"/>
  <c r="D50" i="47" s="1"/>
  <c r="C49" i="47"/>
  <c r="D49" i="47" s="1"/>
  <c r="C47" i="47"/>
  <c r="D137" i="47"/>
  <c r="E137" i="47" s="1"/>
  <c r="C137" i="47"/>
  <c r="C135" i="47"/>
  <c r="D135" i="47" s="1"/>
  <c r="E135" i="47" s="1"/>
  <c r="F135" i="47" s="1"/>
  <c r="G135" i="47" s="1"/>
  <c r="H135" i="47" s="1"/>
  <c r="I135" i="47" s="1"/>
  <c r="J135" i="47" s="1"/>
  <c r="K135" i="47" s="1"/>
  <c r="L135" i="47" s="1"/>
  <c r="M135" i="47" s="1"/>
  <c r="C134" i="47"/>
  <c r="C133" i="47"/>
  <c r="D133" i="47" s="1"/>
  <c r="E133" i="47" s="1"/>
  <c r="C132" i="47"/>
  <c r="D132" i="47" s="1"/>
  <c r="C106" i="47"/>
  <c r="D106" i="47" s="1"/>
  <c r="C104" i="47"/>
  <c r="D104" i="47" s="1"/>
  <c r="E104" i="47" s="1"/>
  <c r="C103" i="47"/>
  <c r="C102" i="47"/>
  <c r="D102" i="47" s="1"/>
  <c r="C101" i="47"/>
  <c r="D101" i="47" s="1"/>
  <c r="C75" i="47"/>
  <c r="D75" i="47" s="1"/>
  <c r="D73" i="47"/>
  <c r="E73" i="47" s="1"/>
  <c r="C73" i="47"/>
  <c r="C72" i="47"/>
  <c r="C71" i="47"/>
  <c r="D71" i="47" s="1"/>
  <c r="C70" i="47"/>
  <c r="D70" i="47" s="1"/>
  <c r="C44" i="47"/>
  <c r="D44" i="47" s="1"/>
  <c r="C42" i="47"/>
  <c r="D42" i="47" s="1"/>
  <c r="E42" i="47" s="1"/>
  <c r="C41" i="47"/>
  <c r="C40" i="47"/>
  <c r="D40" i="47" s="1"/>
  <c r="C39" i="47"/>
  <c r="D39" i="47" s="1"/>
  <c r="C28" i="47"/>
  <c r="D28" i="47" s="1"/>
  <c r="C27" i="47"/>
  <c r="D27" i="47" s="1"/>
  <c r="E27" i="47" s="1"/>
  <c r="C23" i="47"/>
  <c r="D23" i="47" s="1"/>
  <c r="C24" i="47"/>
  <c r="D24" i="47" s="1"/>
  <c r="E24" i="47" s="1"/>
  <c r="F24" i="47" s="1"/>
  <c r="G24" i="47" s="1"/>
  <c r="H24" i="47" s="1"/>
  <c r="I24" i="47" s="1"/>
  <c r="J24" i="47" s="1"/>
  <c r="K24" i="47" s="1"/>
  <c r="L24" i="47" s="1"/>
  <c r="M24" i="47" s="1"/>
  <c r="C22" i="47"/>
  <c r="D22" i="47" s="1"/>
  <c r="E22" i="47" s="1"/>
  <c r="C17" i="47"/>
  <c r="D17" i="47" s="1"/>
  <c r="C18" i="47"/>
  <c r="D18" i="47" s="1"/>
  <c r="E18" i="47" s="1"/>
  <c r="F18" i="47" s="1"/>
  <c r="G18" i="47" s="1"/>
  <c r="H18" i="47" s="1"/>
  <c r="I18" i="47" s="1"/>
  <c r="J18" i="47" s="1"/>
  <c r="K18" i="47" s="1"/>
  <c r="L18" i="47" s="1"/>
  <c r="M18" i="47" s="1"/>
  <c r="C19" i="47"/>
  <c r="D19" i="47" s="1"/>
  <c r="E19" i="47" s="1"/>
  <c r="F19" i="47" s="1"/>
  <c r="G19" i="47" s="1"/>
  <c r="H19" i="47" s="1"/>
  <c r="I19" i="47" s="1"/>
  <c r="J19" i="47" s="1"/>
  <c r="K19" i="47" s="1"/>
  <c r="L19" i="47" s="1"/>
  <c r="M19" i="47" s="1"/>
  <c r="D16" i="47"/>
  <c r="E16" i="47" s="1"/>
  <c r="C16" i="47"/>
  <c r="C9" i="47"/>
  <c r="D9" i="47" s="1"/>
  <c r="C10" i="47"/>
  <c r="D10" i="47" s="1"/>
  <c r="E10" i="47" s="1"/>
  <c r="F10" i="47" s="1"/>
  <c r="G10" i="47" s="1"/>
  <c r="H10" i="47" s="1"/>
  <c r="I10" i="47" s="1"/>
  <c r="J10" i="47" s="1"/>
  <c r="K10" i="47" s="1"/>
  <c r="L10" i="47" s="1"/>
  <c r="M10" i="47" s="1"/>
  <c r="C11" i="47"/>
  <c r="D11" i="47" s="1"/>
  <c r="E11" i="47" s="1"/>
  <c r="F11" i="47" s="1"/>
  <c r="G11" i="47" s="1"/>
  <c r="H11" i="47" s="1"/>
  <c r="I11" i="47" s="1"/>
  <c r="J11" i="47" s="1"/>
  <c r="K11" i="47" s="1"/>
  <c r="L11" i="47" s="1"/>
  <c r="M11" i="47" s="1"/>
  <c r="C12" i="47"/>
  <c r="D12" i="47"/>
  <c r="E12" i="47"/>
  <c r="F12" i="47" s="1"/>
  <c r="C13" i="47"/>
  <c r="D13" i="47" s="1"/>
  <c r="C8" i="47"/>
  <c r="D8" i="47" s="1"/>
  <c r="E8" i="47" s="1"/>
  <c r="C57" i="52"/>
  <c r="D57" i="52" s="1"/>
  <c r="C56" i="52"/>
  <c r="D56" i="52" s="1"/>
  <c r="C55" i="52"/>
  <c r="C58" i="52" s="1"/>
  <c r="C45" i="52"/>
  <c r="D45" i="52" s="1"/>
  <c r="C44" i="52"/>
  <c r="D44" i="52" s="1"/>
  <c r="C43" i="52"/>
  <c r="D43" i="52" s="1"/>
  <c r="E43" i="52" s="1"/>
  <c r="C33" i="52"/>
  <c r="D33" i="52" s="1"/>
  <c r="E33" i="52" s="1"/>
  <c r="C32" i="52"/>
  <c r="D32" i="52" s="1"/>
  <c r="D31" i="52"/>
  <c r="C31" i="52"/>
  <c r="C20" i="52"/>
  <c r="D20" i="52" s="1"/>
  <c r="C21" i="52"/>
  <c r="D21" i="52" s="1"/>
  <c r="E21" i="52" s="1"/>
  <c r="F21" i="52" s="1"/>
  <c r="G21" i="52" s="1"/>
  <c r="H21" i="52" s="1"/>
  <c r="I21" i="52" s="1"/>
  <c r="J21" i="52" s="1"/>
  <c r="K21" i="52" s="1"/>
  <c r="L21" i="52" s="1"/>
  <c r="M21" i="52" s="1"/>
  <c r="C19" i="52"/>
  <c r="D19" i="52" s="1"/>
  <c r="E19" i="52" s="1"/>
  <c r="C28" i="12"/>
  <c r="D28" i="12" s="1"/>
  <c r="D27" i="12"/>
  <c r="E27" i="12" s="1"/>
  <c r="C27" i="12"/>
  <c r="C23" i="12"/>
  <c r="D23" i="12" s="1"/>
  <c r="C24" i="12"/>
  <c r="D24" i="12" s="1"/>
  <c r="E24" i="12" s="1"/>
  <c r="F24" i="12" s="1"/>
  <c r="G24" i="12" s="1"/>
  <c r="H24" i="12" s="1"/>
  <c r="I24" i="12" s="1"/>
  <c r="J24" i="12" s="1"/>
  <c r="K24" i="12" s="1"/>
  <c r="L24" i="12" s="1"/>
  <c r="M24" i="12" s="1"/>
  <c r="C22" i="12"/>
  <c r="D22" i="12" s="1"/>
  <c r="E22" i="12" s="1"/>
  <c r="C17" i="12"/>
  <c r="D17" i="12" s="1"/>
  <c r="C18" i="12"/>
  <c r="D18" i="12" s="1"/>
  <c r="E18" i="12" s="1"/>
  <c r="F18" i="12" s="1"/>
  <c r="G18" i="12" s="1"/>
  <c r="H18" i="12" s="1"/>
  <c r="I18" i="12" s="1"/>
  <c r="J18" i="12" s="1"/>
  <c r="K18" i="12" s="1"/>
  <c r="L18" i="12" s="1"/>
  <c r="M18" i="12" s="1"/>
  <c r="C19" i="12"/>
  <c r="D19" i="12"/>
  <c r="E19" i="12" s="1"/>
  <c r="F19" i="12" s="1"/>
  <c r="G19" i="12" s="1"/>
  <c r="H19" i="12" s="1"/>
  <c r="I19" i="12" s="1"/>
  <c r="J19" i="12" s="1"/>
  <c r="K19" i="12" s="1"/>
  <c r="L19" i="12" s="1"/>
  <c r="M19" i="12" s="1"/>
  <c r="D16" i="12"/>
  <c r="E16" i="12" s="1"/>
  <c r="C16" i="12"/>
  <c r="C9" i="12"/>
  <c r="D9" i="12" s="1"/>
  <c r="C10" i="12"/>
  <c r="D10" i="12" s="1"/>
  <c r="E10" i="12" s="1"/>
  <c r="F10" i="12" s="1"/>
  <c r="G10" i="12" s="1"/>
  <c r="H10" i="12" s="1"/>
  <c r="I10" i="12" s="1"/>
  <c r="J10" i="12" s="1"/>
  <c r="K10" i="12" s="1"/>
  <c r="L10" i="12" s="1"/>
  <c r="M10" i="12" s="1"/>
  <c r="C11" i="12"/>
  <c r="D11" i="12" s="1"/>
  <c r="E11" i="12" s="1"/>
  <c r="F11" i="12" s="1"/>
  <c r="G11" i="12" s="1"/>
  <c r="H11" i="12" s="1"/>
  <c r="I11" i="12" s="1"/>
  <c r="J11" i="12" s="1"/>
  <c r="K11" i="12" s="1"/>
  <c r="L11" i="12" s="1"/>
  <c r="M11" i="12" s="1"/>
  <c r="C12" i="12"/>
  <c r="D12" i="12" s="1"/>
  <c r="C13" i="12"/>
  <c r="D13" i="12" s="1"/>
  <c r="D8" i="12"/>
  <c r="E8" i="12" s="1"/>
  <c r="C8" i="12"/>
  <c r="C9" i="9"/>
  <c r="D9" i="9" s="1"/>
  <c r="E9" i="9" s="1"/>
  <c r="F9" i="9" s="1"/>
  <c r="G9" i="9" s="1"/>
  <c r="C10" i="9"/>
  <c r="D10" i="9" s="1"/>
  <c r="D8" i="9"/>
  <c r="E8" i="9" s="1"/>
  <c r="C8" i="9"/>
  <c r="I5" i="9"/>
  <c r="A5" i="42"/>
  <c r="L15" i="48"/>
  <c r="K15" i="48"/>
  <c r="I15" i="48"/>
  <c r="G15" i="48"/>
  <c r="L13" i="48"/>
  <c r="K13" i="48"/>
  <c r="I13" i="48"/>
  <c r="G13" i="48"/>
  <c r="L5" i="48"/>
  <c r="K5" i="48"/>
  <c r="I5" i="48"/>
  <c r="G5" i="48"/>
  <c r="L4" i="48"/>
  <c r="K4" i="48"/>
  <c r="K10" i="54" s="1"/>
  <c r="I4" i="48"/>
  <c r="I10" i="54" s="1"/>
  <c r="G4" i="48"/>
  <c r="E4" i="48"/>
  <c r="K17" i="54"/>
  <c r="G17" i="54"/>
  <c r="L10" i="54"/>
  <c r="G4" i="57" s="1"/>
  <c r="G10" i="54"/>
  <c r="D4" i="55" s="1"/>
  <c r="E10" i="54"/>
  <c r="C4" i="55" s="1"/>
  <c r="F10" i="57"/>
  <c r="D10" i="57"/>
  <c r="B7" i="57"/>
  <c r="B10" i="57" s="1"/>
  <c r="F6" i="57"/>
  <c r="D6" i="57"/>
  <c r="G19" i="25"/>
  <c r="B19" i="25"/>
  <c r="G9" i="25"/>
  <c r="F5" i="25"/>
  <c r="E5" i="25"/>
  <c r="D5" i="25"/>
  <c r="C5" i="25"/>
  <c r="B5" i="25"/>
  <c r="N106" i="31"/>
  <c r="B95" i="31"/>
  <c r="H90" i="31"/>
  <c r="N84" i="31"/>
  <c r="H68" i="31"/>
  <c r="N62" i="31"/>
  <c r="C57" i="31"/>
  <c r="B52" i="31"/>
  <c r="H46" i="31"/>
  <c r="N40" i="31"/>
  <c r="H24" i="31"/>
  <c r="O14" i="31"/>
  <c r="B8" i="31"/>
  <c r="B9" i="31" s="1"/>
  <c r="I2" i="31"/>
  <c r="F6" i="24"/>
  <c r="G8" i="22"/>
  <c r="A4" i="21"/>
  <c r="F3" i="21"/>
  <c r="F5" i="22" s="1"/>
  <c r="E3" i="21"/>
  <c r="E5" i="22" s="1"/>
  <c r="D3" i="21"/>
  <c r="D5" i="22" s="1"/>
  <c r="C3" i="21"/>
  <c r="C5" i="22" s="1"/>
  <c r="B3" i="21"/>
  <c r="B5" i="22" s="1"/>
  <c r="A9" i="19"/>
  <c r="A13" i="54" s="1"/>
  <c r="A8" i="19"/>
  <c r="A12" i="54" s="1"/>
  <c r="A7" i="19"/>
  <c r="A11" i="54" s="1"/>
  <c r="F6" i="19"/>
  <c r="E6" i="19"/>
  <c r="D6" i="19"/>
  <c r="C6" i="19"/>
  <c r="B6" i="19"/>
  <c r="A154" i="47"/>
  <c r="B153" i="47"/>
  <c r="A153" i="47"/>
  <c r="A152" i="47"/>
  <c r="A151" i="47"/>
  <c r="A150" i="47"/>
  <c r="B149" i="47"/>
  <c r="B102" i="31" s="1"/>
  <c r="A149" i="47"/>
  <c r="A148" i="47"/>
  <c r="A147" i="47"/>
  <c r="A146" i="47"/>
  <c r="A145" i="47"/>
  <c r="B144" i="47"/>
  <c r="B100" i="31" s="1"/>
  <c r="A144" i="47"/>
  <c r="A143" i="47"/>
  <c r="A142" i="47"/>
  <c r="A141" i="47"/>
  <c r="A140" i="47"/>
  <c r="A139" i="47"/>
  <c r="B138" i="47"/>
  <c r="B99" i="31" s="1"/>
  <c r="A138" i="47"/>
  <c r="A137" i="47"/>
  <c r="A136" i="47"/>
  <c r="A135" i="47"/>
  <c r="A134" i="47"/>
  <c r="A133" i="47"/>
  <c r="A132" i="47"/>
  <c r="N131" i="47"/>
  <c r="A131" i="47"/>
  <c r="M130" i="47"/>
  <c r="L130" i="47"/>
  <c r="K130" i="47"/>
  <c r="J130" i="47"/>
  <c r="I130" i="47"/>
  <c r="H130" i="47"/>
  <c r="G130" i="47"/>
  <c r="F130" i="47"/>
  <c r="E130" i="47"/>
  <c r="D130" i="47"/>
  <c r="C130" i="47"/>
  <c r="B130" i="47"/>
  <c r="A130" i="47"/>
  <c r="H128" i="47"/>
  <c r="A123" i="47"/>
  <c r="C122" i="47"/>
  <c r="B122" i="47"/>
  <c r="B80" i="31" s="1"/>
  <c r="A122" i="47"/>
  <c r="A121" i="47"/>
  <c r="A120" i="47"/>
  <c r="A119" i="47"/>
  <c r="B118" i="47"/>
  <c r="B79" i="31" s="1"/>
  <c r="A118" i="47"/>
  <c r="A117" i="47"/>
  <c r="A116" i="47"/>
  <c r="A115" i="47"/>
  <c r="A114" i="47"/>
  <c r="B113" i="47"/>
  <c r="B78" i="31" s="1"/>
  <c r="A113" i="47"/>
  <c r="A112" i="47"/>
  <c r="A111" i="47"/>
  <c r="A110" i="47"/>
  <c r="A109" i="47"/>
  <c r="A108" i="47"/>
  <c r="B107" i="47"/>
  <c r="B77" i="31" s="1"/>
  <c r="A107" i="47"/>
  <c r="A106" i="47"/>
  <c r="A105" i="47"/>
  <c r="A104" i="47"/>
  <c r="A103" i="47"/>
  <c r="A102" i="47"/>
  <c r="A101" i="47"/>
  <c r="A100" i="47"/>
  <c r="M99" i="47"/>
  <c r="L99" i="47"/>
  <c r="K99" i="47"/>
  <c r="J99" i="47"/>
  <c r="I99" i="47"/>
  <c r="H99" i="47"/>
  <c r="G99" i="47"/>
  <c r="F99" i="47"/>
  <c r="E99" i="47"/>
  <c r="D99" i="47"/>
  <c r="C99" i="47"/>
  <c r="B99" i="47"/>
  <c r="A99" i="47"/>
  <c r="H97" i="47"/>
  <c r="A92" i="47"/>
  <c r="B91" i="47"/>
  <c r="B58" i="31" s="1"/>
  <c r="A91" i="47"/>
  <c r="A90" i="47"/>
  <c r="A89" i="47"/>
  <c r="A88" i="47"/>
  <c r="B87" i="47"/>
  <c r="B57" i="31" s="1"/>
  <c r="A87" i="47"/>
  <c r="A86" i="47"/>
  <c r="A85" i="47"/>
  <c r="A84" i="47"/>
  <c r="A83" i="47"/>
  <c r="A82" i="47"/>
  <c r="A81" i="47"/>
  <c r="A80" i="47"/>
  <c r="A79" i="47"/>
  <c r="A78" i="47"/>
  <c r="A77" i="47"/>
  <c r="B76" i="47"/>
  <c r="A76" i="47"/>
  <c r="A75" i="47"/>
  <c r="A74" i="47"/>
  <c r="A73" i="47"/>
  <c r="A72" i="47"/>
  <c r="A71" i="47"/>
  <c r="A70" i="47"/>
  <c r="A69" i="47"/>
  <c r="M68" i="47"/>
  <c r="L68" i="47"/>
  <c r="K68" i="47"/>
  <c r="J68" i="47"/>
  <c r="I68" i="47"/>
  <c r="H68" i="47"/>
  <c r="G68" i="47"/>
  <c r="F68" i="47"/>
  <c r="E68" i="47"/>
  <c r="D68" i="47"/>
  <c r="C68" i="47"/>
  <c r="B68" i="47"/>
  <c r="A68" i="47"/>
  <c r="H66" i="47"/>
  <c r="A61" i="47"/>
  <c r="B60" i="47"/>
  <c r="B36" i="31" s="1"/>
  <c r="A60" i="47"/>
  <c r="A59" i="47"/>
  <c r="A58" i="47"/>
  <c r="A57" i="47"/>
  <c r="C56" i="47"/>
  <c r="C35" i="31" s="1"/>
  <c r="B56" i="47"/>
  <c r="B35" i="31" s="1"/>
  <c r="A56" i="47"/>
  <c r="A55" i="47"/>
  <c r="A54" i="47"/>
  <c r="A53" i="47"/>
  <c r="A52" i="47"/>
  <c r="B51" i="47"/>
  <c r="B34" i="31" s="1"/>
  <c r="A51" i="47"/>
  <c r="A50" i="47"/>
  <c r="A49" i="47"/>
  <c r="A48" i="47"/>
  <c r="A47" i="47"/>
  <c r="A46" i="47"/>
  <c r="A45" i="47"/>
  <c r="A44" i="47"/>
  <c r="A43" i="47"/>
  <c r="A42" i="47"/>
  <c r="A41" i="47"/>
  <c r="A40" i="47"/>
  <c r="A39" i="47"/>
  <c r="A38" i="47"/>
  <c r="M37" i="47"/>
  <c r="L37" i="47"/>
  <c r="K37" i="47"/>
  <c r="J37" i="47"/>
  <c r="I37" i="47"/>
  <c r="H37" i="47"/>
  <c r="G37" i="47"/>
  <c r="F37" i="47"/>
  <c r="E37" i="47"/>
  <c r="D37" i="47"/>
  <c r="C37" i="47"/>
  <c r="B37" i="47"/>
  <c r="A37" i="47"/>
  <c r="H35" i="47"/>
  <c r="C29" i="47"/>
  <c r="B29" i="47"/>
  <c r="B25" i="47"/>
  <c r="C13" i="31" s="1"/>
  <c r="B20" i="47"/>
  <c r="C12" i="31" s="1"/>
  <c r="B14" i="47"/>
  <c r="C11" i="31" s="1"/>
  <c r="H4" i="47"/>
  <c r="B58" i="52"/>
  <c r="H52" i="52"/>
  <c r="C46" i="52"/>
  <c r="B46" i="52"/>
  <c r="B73" i="31" s="1"/>
  <c r="H40" i="52"/>
  <c r="B34" i="52"/>
  <c r="B51" i="31" s="1"/>
  <c r="B53" i="31" s="1"/>
  <c r="H28" i="52"/>
  <c r="B22" i="52"/>
  <c r="B29" i="31" s="1"/>
  <c r="H16" i="52"/>
  <c r="B11" i="52"/>
  <c r="C7" i="31" s="1"/>
  <c r="H5" i="52"/>
  <c r="B20" i="17"/>
  <c r="A20" i="17"/>
  <c r="N8" i="15"/>
  <c r="D7" i="15"/>
  <c r="D9" i="15" s="1"/>
  <c r="C7" i="15"/>
  <c r="C9" i="15" s="1"/>
  <c r="B7" i="15"/>
  <c r="D18" i="14"/>
  <c r="C29" i="12"/>
  <c r="C14" i="15" s="1"/>
  <c r="B29" i="12"/>
  <c r="B14" i="15" s="1"/>
  <c r="N26" i="12"/>
  <c r="B25" i="12"/>
  <c r="B13" i="15" s="1"/>
  <c r="B20" i="12"/>
  <c r="B12" i="15" s="1"/>
  <c r="B14" i="12"/>
  <c r="B11" i="15" s="1"/>
  <c r="C18" i="11"/>
  <c r="B11" i="9"/>
  <c r="B19" i="7"/>
  <c r="B18" i="8" s="1"/>
  <c r="K20" i="45"/>
  <c r="J20" i="45"/>
  <c r="I20" i="45"/>
  <c r="H20" i="45"/>
  <c r="F20" i="45"/>
  <c r="D20" i="45"/>
  <c r="A20" i="45"/>
  <c r="K19" i="45"/>
  <c r="I19" i="45"/>
  <c r="A19" i="45"/>
  <c r="K18" i="45"/>
  <c r="I18" i="45"/>
  <c r="A18" i="45"/>
  <c r="K17" i="45"/>
  <c r="I17" i="45"/>
  <c r="A17" i="45"/>
  <c r="K16" i="45"/>
  <c r="I16" i="45"/>
  <c r="A16" i="45"/>
  <c r="K15" i="45"/>
  <c r="I15" i="45"/>
  <c r="D15" i="45"/>
  <c r="F15" i="45" s="1"/>
  <c r="H15" i="45" s="1"/>
  <c r="J15" i="45" s="1"/>
  <c r="A15" i="45"/>
  <c r="K14" i="45"/>
  <c r="J14" i="45"/>
  <c r="I14" i="45"/>
  <c r="H14" i="45"/>
  <c r="F14" i="45"/>
  <c r="D14" i="45"/>
  <c r="A14" i="45"/>
  <c r="K13" i="45"/>
  <c r="I13" i="45"/>
  <c r="A13" i="45"/>
  <c r="K12" i="45"/>
  <c r="I12" i="45"/>
  <c r="A12" i="45"/>
  <c r="K11" i="45"/>
  <c r="I11" i="45"/>
  <c r="A11" i="45"/>
  <c r="K10" i="45"/>
  <c r="I10" i="45"/>
  <c r="A10" i="45"/>
  <c r="K9" i="45"/>
  <c r="I9" i="45"/>
  <c r="A9" i="45"/>
  <c r="K8" i="45"/>
  <c r="I8" i="45"/>
  <c r="A8" i="45"/>
  <c r="K7" i="45"/>
  <c r="I7" i="45"/>
  <c r="D7" i="45"/>
  <c r="F7" i="45" s="1"/>
  <c r="H7" i="45" s="1"/>
  <c r="J7" i="45" s="1"/>
  <c r="A7" i="45"/>
  <c r="K6" i="45"/>
  <c r="I6" i="45"/>
  <c r="A6" i="45"/>
  <c r="K5" i="45"/>
  <c r="J5" i="45"/>
  <c r="I5" i="45"/>
  <c r="H5" i="45"/>
  <c r="F5" i="45"/>
  <c r="K38" i="44"/>
  <c r="K36" i="44"/>
  <c r="M35" i="44"/>
  <c r="J35" i="44"/>
  <c r="J34" i="44"/>
  <c r="M34" i="44" s="1"/>
  <c r="J33" i="44"/>
  <c r="M33" i="44" s="1"/>
  <c r="J32" i="44"/>
  <c r="M32" i="44" s="1"/>
  <c r="J31" i="44"/>
  <c r="K24" i="44"/>
  <c r="M23" i="44"/>
  <c r="J23" i="44"/>
  <c r="M22" i="44"/>
  <c r="J22" i="44"/>
  <c r="J21" i="44"/>
  <c r="D19" i="45" s="1"/>
  <c r="F19" i="45" s="1"/>
  <c r="H19" i="45" s="1"/>
  <c r="J19" i="45" s="1"/>
  <c r="M20" i="44"/>
  <c r="J20" i="44"/>
  <c r="D18" i="45" s="1"/>
  <c r="F18" i="45" s="1"/>
  <c r="H18" i="45" s="1"/>
  <c r="J18" i="45" s="1"/>
  <c r="J19" i="44"/>
  <c r="D17" i="45" s="1"/>
  <c r="F17" i="45" s="1"/>
  <c r="H17" i="45" s="1"/>
  <c r="J17" i="45" s="1"/>
  <c r="J18" i="44"/>
  <c r="D16" i="45" s="1"/>
  <c r="F16" i="45" s="1"/>
  <c r="H16" i="45" s="1"/>
  <c r="J16" i="45" s="1"/>
  <c r="J17" i="44"/>
  <c r="M17" i="44" s="1"/>
  <c r="M16" i="44"/>
  <c r="J16" i="44"/>
  <c r="J15" i="44"/>
  <c r="D13" i="45" s="1"/>
  <c r="F13" i="45" s="1"/>
  <c r="H13" i="45" s="1"/>
  <c r="J13" i="45" s="1"/>
  <c r="J14" i="44"/>
  <c r="D12" i="45" s="1"/>
  <c r="F12" i="45" s="1"/>
  <c r="H12" i="45" s="1"/>
  <c r="J12" i="45" s="1"/>
  <c r="J13" i="44"/>
  <c r="M13" i="44" s="1"/>
  <c r="J12" i="44"/>
  <c r="M12" i="44" s="1"/>
  <c r="J11" i="44"/>
  <c r="D9" i="45" s="1"/>
  <c r="F9" i="45" s="1"/>
  <c r="H9" i="45" s="1"/>
  <c r="J9" i="45" s="1"/>
  <c r="J10" i="44"/>
  <c r="D8" i="45" s="1"/>
  <c r="F8" i="45" s="1"/>
  <c r="H8" i="45" s="1"/>
  <c r="J8" i="45" s="1"/>
  <c r="J9" i="44"/>
  <c r="M9" i="44" s="1"/>
  <c r="J8" i="44"/>
  <c r="A8" i="6"/>
  <c r="A10" i="4"/>
  <c r="A57" i="43" s="1"/>
  <c r="A9" i="4"/>
  <c r="A44" i="43" s="1"/>
  <c r="A8" i="4"/>
  <c r="A31" i="43" s="1"/>
  <c r="A7" i="4"/>
  <c r="A18" i="43" s="1"/>
  <c r="A6" i="4"/>
  <c r="A5" i="43" s="1"/>
  <c r="E3" i="4"/>
  <c r="A18" i="5"/>
  <c r="C4" i="5"/>
  <c r="C4" i="43" s="1"/>
  <c r="F2" i="5"/>
  <c r="F2" i="43" s="1"/>
  <c r="D2" i="5"/>
  <c r="D65" i="43" l="1"/>
  <c r="D63" i="43"/>
  <c r="D61" i="43"/>
  <c r="D59" i="43"/>
  <c r="D12" i="43"/>
  <c r="D10" i="43"/>
  <c r="D8" i="43"/>
  <c r="D6" i="43"/>
  <c r="D58" i="43"/>
  <c r="D54" i="43"/>
  <c r="D50" i="43"/>
  <c r="D48" i="43"/>
  <c r="D42" i="43"/>
  <c r="D36" i="43"/>
  <c r="D20" i="43"/>
  <c r="D14" i="43"/>
  <c r="D68" i="43"/>
  <c r="D57" i="43"/>
  <c r="D55" i="43"/>
  <c r="D53" i="43"/>
  <c r="D51" i="43"/>
  <c r="D49" i="43"/>
  <c r="D47" i="43"/>
  <c r="D45" i="43"/>
  <c r="D41" i="43"/>
  <c r="D39" i="43"/>
  <c r="D37" i="43"/>
  <c r="D35" i="43"/>
  <c r="D33" i="43"/>
  <c r="D31" i="43"/>
  <c r="D29" i="43"/>
  <c r="D27" i="43"/>
  <c r="D25" i="43"/>
  <c r="D23" i="43"/>
  <c r="D21" i="43"/>
  <c r="D19" i="43"/>
  <c r="D15" i="43"/>
  <c r="D13" i="43"/>
  <c r="C4" i="42"/>
  <c r="D67" i="43"/>
  <c r="D46" i="43"/>
  <c r="D40" i="43"/>
  <c r="D32" i="43"/>
  <c r="D26" i="43"/>
  <c r="D22" i="43"/>
  <c r="D16" i="43"/>
  <c r="D66" i="43"/>
  <c r="D64" i="43"/>
  <c r="D62" i="43"/>
  <c r="D60" i="43"/>
  <c r="D11" i="43"/>
  <c r="D9" i="43"/>
  <c r="D7" i="43"/>
  <c r="D5" i="43"/>
  <c r="D52" i="43"/>
  <c r="D44" i="43"/>
  <c r="D56" i="43" s="1"/>
  <c r="D38" i="43"/>
  <c r="D34" i="43"/>
  <c r="D28" i="43"/>
  <c r="D24" i="43"/>
  <c r="D18" i="43"/>
  <c r="C5" i="43"/>
  <c r="C6" i="43" s="1"/>
  <c r="B6" i="4"/>
  <c r="C5" i="5"/>
  <c r="D11" i="52"/>
  <c r="E7" i="31" s="1"/>
  <c r="E9" i="31" s="1"/>
  <c r="C9" i="31"/>
  <c r="E9" i="52"/>
  <c r="F9" i="52" s="1"/>
  <c r="G9" i="52" s="1"/>
  <c r="H9" i="52" s="1"/>
  <c r="I9" i="52" s="1"/>
  <c r="J9" i="52" s="1"/>
  <c r="K9" i="52" s="1"/>
  <c r="L9" i="52" s="1"/>
  <c r="M9" i="52" s="1"/>
  <c r="E10" i="52"/>
  <c r="F10" i="52" s="1"/>
  <c r="G10" i="52" s="1"/>
  <c r="H10" i="52" s="1"/>
  <c r="I10" i="52" s="1"/>
  <c r="J10" i="52" s="1"/>
  <c r="K10" i="52" s="1"/>
  <c r="L10" i="52" s="1"/>
  <c r="M10" i="52" s="1"/>
  <c r="E8" i="52"/>
  <c r="C11" i="52"/>
  <c r="D152" i="47"/>
  <c r="E152" i="47" s="1"/>
  <c r="C153" i="47"/>
  <c r="C149" i="47"/>
  <c r="B101" i="31"/>
  <c r="D146" i="47"/>
  <c r="E146" i="47" s="1"/>
  <c r="C138" i="47"/>
  <c r="B154" i="47"/>
  <c r="C118" i="47"/>
  <c r="C79" i="31" s="1"/>
  <c r="D115" i="47"/>
  <c r="D118" i="47" s="1"/>
  <c r="C113" i="47"/>
  <c r="B123" i="47"/>
  <c r="C107" i="47"/>
  <c r="C91" i="47"/>
  <c r="C58" i="31" s="1"/>
  <c r="B82" i="47"/>
  <c r="B56" i="31" s="1"/>
  <c r="C82" i="47"/>
  <c r="C92" i="47" s="1"/>
  <c r="B55" i="31"/>
  <c r="C76" i="47"/>
  <c r="C55" i="31" s="1"/>
  <c r="C60" i="47"/>
  <c r="C36" i="31" s="1"/>
  <c r="D48" i="47"/>
  <c r="E48" i="47" s="1"/>
  <c r="F48" i="47" s="1"/>
  <c r="G48" i="47" s="1"/>
  <c r="H48" i="47" s="1"/>
  <c r="I48" i="47" s="1"/>
  <c r="J48" i="47" s="1"/>
  <c r="K48" i="47" s="1"/>
  <c r="L48" i="47" s="1"/>
  <c r="M48" i="47" s="1"/>
  <c r="C51" i="47"/>
  <c r="C45" i="47"/>
  <c r="B45" i="47"/>
  <c r="B33" i="31" s="1"/>
  <c r="D153" i="47"/>
  <c r="E151" i="47"/>
  <c r="F152" i="47"/>
  <c r="G152" i="47" s="1"/>
  <c r="H152" i="47" s="1"/>
  <c r="I152" i="47" s="1"/>
  <c r="J152" i="47" s="1"/>
  <c r="K152" i="47" s="1"/>
  <c r="L152" i="47" s="1"/>
  <c r="M152" i="47" s="1"/>
  <c r="E120" i="47"/>
  <c r="D122" i="47"/>
  <c r="D80" i="31" s="1"/>
  <c r="E121" i="47"/>
  <c r="F121" i="47" s="1"/>
  <c r="G121" i="47" s="1"/>
  <c r="H121" i="47" s="1"/>
  <c r="I121" i="47" s="1"/>
  <c r="J121" i="47" s="1"/>
  <c r="K121" i="47" s="1"/>
  <c r="L121" i="47" s="1"/>
  <c r="M121" i="47" s="1"/>
  <c r="C80" i="31"/>
  <c r="D91" i="47"/>
  <c r="E89" i="47"/>
  <c r="E58" i="47"/>
  <c r="D60" i="47"/>
  <c r="D36" i="31" s="1"/>
  <c r="F59" i="47"/>
  <c r="G59" i="47" s="1"/>
  <c r="H59" i="47" s="1"/>
  <c r="I59" i="47" s="1"/>
  <c r="J59" i="47" s="1"/>
  <c r="K59" i="47" s="1"/>
  <c r="L59" i="47" s="1"/>
  <c r="M59" i="47" s="1"/>
  <c r="F146" i="47"/>
  <c r="D149" i="47"/>
  <c r="E147" i="47"/>
  <c r="F147" i="47" s="1"/>
  <c r="G147" i="47" s="1"/>
  <c r="H147" i="47" s="1"/>
  <c r="I147" i="47" s="1"/>
  <c r="J147" i="47" s="1"/>
  <c r="K147" i="47" s="1"/>
  <c r="L147" i="47" s="1"/>
  <c r="M147" i="47" s="1"/>
  <c r="C102" i="31"/>
  <c r="C101" i="31"/>
  <c r="E115" i="47"/>
  <c r="D87" i="47"/>
  <c r="E84" i="47"/>
  <c r="F53" i="47"/>
  <c r="E54" i="47"/>
  <c r="F54" i="47" s="1"/>
  <c r="G54" i="47" s="1"/>
  <c r="H54" i="47" s="1"/>
  <c r="I54" i="47" s="1"/>
  <c r="J54" i="47" s="1"/>
  <c r="K54" i="47" s="1"/>
  <c r="L54" i="47" s="1"/>
  <c r="M54" i="47" s="1"/>
  <c r="D56" i="47"/>
  <c r="D35" i="31" s="1"/>
  <c r="F55" i="47"/>
  <c r="G55" i="47" s="1"/>
  <c r="H55" i="47" s="1"/>
  <c r="I55" i="47" s="1"/>
  <c r="J55" i="47" s="1"/>
  <c r="K55" i="47" s="1"/>
  <c r="L55" i="47" s="1"/>
  <c r="M55" i="47" s="1"/>
  <c r="D102" i="31"/>
  <c r="D101" i="31"/>
  <c r="D144" i="47"/>
  <c r="D100" i="31" s="1"/>
  <c r="N143" i="47"/>
  <c r="F16" i="21" s="1"/>
  <c r="C144" i="47"/>
  <c r="C154" i="47" s="1"/>
  <c r="C78" i="31"/>
  <c r="N112" i="47"/>
  <c r="E16" i="21" s="1"/>
  <c r="D58" i="31"/>
  <c r="N85" i="47"/>
  <c r="D20" i="21" s="1"/>
  <c r="E81" i="47"/>
  <c r="F81" i="47" s="1"/>
  <c r="G81" i="47" s="1"/>
  <c r="H81" i="47" s="1"/>
  <c r="I81" i="47" s="1"/>
  <c r="J81" i="47" s="1"/>
  <c r="K81" i="47" s="1"/>
  <c r="L81" i="47" s="1"/>
  <c r="M81" i="47" s="1"/>
  <c r="E79" i="47"/>
  <c r="F79" i="47" s="1"/>
  <c r="G79" i="47" s="1"/>
  <c r="H79" i="47" s="1"/>
  <c r="I79" i="47" s="1"/>
  <c r="J79" i="47" s="1"/>
  <c r="K79" i="47" s="1"/>
  <c r="L79" i="47" s="1"/>
  <c r="M79" i="47" s="1"/>
  <c r="C56" i="31"/>
  <c r="D78" i="47"/>
  <c r="N80" i="47"/>
  <c r="D15" i="21" s="1"/>
  <c r="E49" i="47"/>
  <c r="F49" i="47" s="1"/>
  <c r="G49" i="47" s="1"/>
  <c r="H49" i="47" s="1"/>
  <c r="I49" i="47" s="1"/>
  <c r="J49" i="47" s="1"/>
  <c r="K49" i="47" s="1"/>
  <c r="L49" i="47" s="1"/>
  <c r="M49" i="47" s="1"/>
  <c r="E50" i="47"/>
  <c r="F50" i="47" s="1"/>
  <c r="G50" i="47" s="1"/>
  <c r="H50" i="47" s="1"/>
  <c r="I50" i="47" s="1"/>
  <c r="J50" i="47" s="1"/>
  <c r="K50" i="47" s="1"/>
  <c r="L50" i="47" s="1"/>
  <c r="M50" i="47" s="1"/>
  <c r="N48" i="47"/>
  <c r="C14" i="21" s="1"/>
  <c r="C34" i="31"/>
  <c r="D47" i="47"/>
  <c r="F133" i="47"/>
  <c r="G133" i="47" s="1"/>
  <c r="H133" i="47" s="1"/>
  <c r="I133" i="47" s="1"/>
  <c r="J133" i="47" s="1"/>
  <c r="K133" i="47" s="1"/>
  <c r="L133" i="47" s="1"/>
  <c r="M133" i="47" s="1"/>
  <c r="E136" i="47"/>
  <c r="F136" i="47" s="1"/>
  <c r="G136" i="47" s="1"/>
  <c r="H136" i="47" s="1"/>
  <c r="I136" i="47" s="1"/>
  <c r="J136" i="47" s="1"/>
  <c r="K136" i="47" s="1"/>
  <c r="L136" i="47" s="1"/>
  <c r="M136" i="47" s="1"/>
  <c r="E132" i="47"/>
  <c r="F137" i="47"/>
  <c r="G137" i="47" s="1"/>
  <c r="H137" i="47" s="1"/>
  <c r="I137" i="47" s="1"/>
  <c r="J137" i="47" s="1"/>
  <c r="K137" i="47" s="1"/>
  <c r="L137" i="47" s="1"/>
  <c r="M137" i="47" s="1"/>
  <c r="N135" i="47"/>
  <c r="F8" i="21" s="1"/>
  <c r="D134" i="47"/>
  <c r="E134" i="47" s="1"/>
  <c r="F134" i="47" s="1"/>
  <c r="G134" i="47" s="1"/>
  <c r="H134" i="47" s="1"/>
  <c r="I134" i="47" s="1"/>
  <c r="J134" i="47" s="1"/>
  <c r="K134" i="47" s="1"/>
  <c r="L134" i="47" s="1"/>
  <c r="M134" i="47" s="1"/>
  <c r="C99" i="31"/>
  <c r="E101" i="47"/>
  <c r="F104" i="47"/>
  <c r="G104" i="47" s="1"/>
  <c r="H104" i="47" s="1"/>
  <c r="I104" i="47" s="1"/>
  <c r="J104" i="47" s="1"/>
  <c r="K104" i="47" s="1"/>
  <c r="L104" i="47" s="1"/>
  <c r="M104" i="47" s="1"/>
  <c r="E102" i="47"/>
  <c r="F102" i="47" s="1"/>
  <c r="G102" i="47" s="1"/>
  <c r="H102" i="47" s="1"/>
  <c r="I102" i="47" s="1"/>
  <c r="J102" i="47" s="1"/>
  <c r="K102" i="47" s="1"/>
  <c r="L102" i="47" s="1"/>
  <c r="M102" i="47" s="1"/>
  <c r="E105" i="47"/>
  <c r="F105" i="47" s="1"/>
  <c r="G105" i="47" s="1"/>
  <c r="H105" i="47" s="1"/>
  <c r="I105" i="47" s="1"/>
  <c r="J105" i="47" s="1"/>
  <c r="K105" i="47" s="1"/>
  <c r="L105" i="47" s="1"/>
  <c r="M105" i="47" s="1"/>
  <c r="C77" i="31"/>
  <c r="C123" i="47"/>
  <c r="E106" i="47"/>
  <c r="F106" i="47" s="1"/>
  <c r="G106" i="47" s="1"/>
  <c r="H106" i="47" s="1"/>
  <c r="I106" i="47" s="1"/>
  <c r="J106" i="47" s="1"/>
  <c r="K106" i="47" s="1"/>
  <c r="L106" i="47" s="1"/>
  <c r="M106" i="47" s="1"/>
  <c r="D103" i="47"/>
  <c r="E103" i="47" s="1"/>
  <c r="F103" i="47" s="1"/>
  <c r="G103" i="47" s="1"/>
  <c r="H103" i="47" s="1"/>
  <c r="I103" i="47" s="1"/>
  <c r="J103" i="47" s="1"/>
  <c r="K103" i="47" s="1"/>
  <c r="L103" i="47" s="1"/>
  <c r="M103" i="47" s="1"/>
  <c r="N103" i="47"/>
  <c r="E7" i="21" s="1"/>
  <c r="E70" i="47"/>
  <c r="F73" i="47"/>
  <c r="G73" i="47" s="1"/>
  <c r="H73" i="47" s="1"/>
  <c r="I73" i="47" s="1"/>
  <c r="J73" i="47" s="1"/>
  <c r="K73" i="47" s="1"/>
  <c r="L73" i="47" s="1"/>
  <c r="M73" i="47" s="1"/>
  <c r="E71" i="47"/>
  <c r="F71" i="47" s="1"/>
  <c r="G71" i="47" s="1"/>
  <c r="H71" i="47" s="1"/>
  <c r="I71" i="47" s="1"/>
  <c r="J71" i="47" s="1"/>
  <c r="K71" i="47" s="1"/>
  <c r="L71" i="47" s="1"/>
  <c r="M71" i="47" s="1"/>
  <c r="E74" i="47"/>
  <c r="F74" i="47" s="1"/>
  <c r="G74" i="47" s="1"/>
  <c r="H74" i="47" s="1"/>
  <c r="I74" i="47" s="1"/>
  <c r="J74" i="47" s="1"/>
  <c r="K74" i="47" s="1"/>
  <c r="L74" i="47" s="1"/>
  <c r="M74" i="47" s="1"/>
  <c r="E75" i="47"/>
  <c r="F75" i="47" s="1"/>
  <c r="G75" i="47" s="1"/>
  <c r="H75" i="47" s="1"/>
  <c r="I75" i="47" s="1"/>
  <c r="J75" i="47" s="1"/>
  <c r="K75" i="47" s="1"/>
  <c r="L75" i="47" s="1"/>
  <c r="M75" i="47" s="1"/>
  <c r="N75" i="47"/>
  <c r="D10" i="21" s="1"/>
  <c r="D72" i="47"/>
  <c r="E72" i="47" s="1"/>
  <c r="F72" i="47" s="1"/>
  <c r="G72" i="47" s="1"/>
  <c r="H72" i="47" s="1"/>
  <c r="I72" i="47" s="1"/>
  <c r="J72" i="47" s="1"/>
  <c r="K72" i="47" s="1"/>
  <c r="L72" i="47" s="1"/>
  <c r="M72" i="47" s="1"/>
  <c r="E39" i="47"/>
  <c r="F42" i="47"/>
  <c r="G42" i="47" s="1"/>
  <c r="H42" i="47" s="1"/>
  <c r="I42" i="47" s="1"/>
  <c r="J42" i="47" s="1"/>
  <c r="K42" i="47" s="1"/>
  <c r="L42" i="47" s="1"/>
  <c r="M42" i="47" s="1"/>
  <c r="E40" i="47"/>
  <c r="F40" i="47" s="1"/>
  <c r="G40" i="47" s="1"/>
  <c r="H40" i="47" s="1"/>
  <c r="I40" i="47" s="1"/>
  <c r="J40" i="47" s="1"/>
  <c r="K40" i="47" s="1"/>
  <c r="L40" i="47" s="1"/>
  <c r="M40" i="47" s="1"/>
  <c r="E43" i="47"/>
  <c r="F43" i="47" s="1"/>
  <c r="G43" i="47" s="1"/>
  <c r="H43" i="47" s="1"/>
  <c r="I43" i="47" s="1"/>
  <c r="J43" i="47" s="1"/>
  <c r="K43" i="47" s="1"/>
  <c r="L43" i="47" s="1"/>
  <c r="M43" i="47" s="1"/>
  <c r="C61" i="47"/>
  <c r="C33" i="31"/>
  <c r="E44" i="47"/>
  <c r="F44" i="47" s="1"/>
  <c r="G44" i="47" s="1"/>
  <c r="H44" i="47" s="1"/>
  <c r="I44" i="47" s="1"/>
  <c r="J44" i="47" s="1"/>
  <c r="K44" i="47" s="1"/>
  <c r="L44" i="47" s="1"/>
  <c r="M44" i="47" s="1"/>
  <c r="D41" i="47"/>
  <c r="E41" i="47" s="1"/>
  <c r="F41" i="47" s="1"/>
  <c r="G41" i="47" s="1"/>
  <c r="H41" i="47" s="1"/>
  <c r="I41" i="47" s="1"/>
  <c r="J41" i="47" s="1"/>
  <c r="K41" i="47" s="1"/>
  <c r="L41" i="47" s="1"/>
  <c r="M41" i="47" s="1"/>
  <c r="B61" i="47"/>
  <c r="B30" i="47"/>
  <c r="D29" i="47"/>
  <c r="E28" i="47"/>
  <c r="F28" i="47" s="1"/>
  <c r="G28" i="47" s="1"/>
  <c r="H28" i="47" s="1"/>
  <c r="I28" i="47" s="1"/>
  <c r="J28" i="47" s="1"/>
  <c r="K28" i="47" s="1"/>
  <c r="L28" i="47" s="1"/>
  <c r="M28" i="47" s="1"/>
  <c r="F27" i="47"/>
  <c r="D25" i="47"/>
  <c r="E13" i="31" s="1"/>
  <c r="E23" i="47"/>
  <c r="F23" i="47" s="1"/>
  <c r="G23" i="47" s="1"/>
  <c r="H23" i="47" s="1"/>
  <c r="I23" i="47" s="1"/>
  <c r="J23" i="47" s="1"/>
  <c r="K23" i="47" s="1"/>
  <c r="L23" i="47" s="1"/>
  <c r="M23" i="47" s="1"/>
  <c r="N24" i="47"/>
  <c r="B21" i="21" s="1"/>
  <c r="C25" i="47"/>
  <c r="D13" i="31" s="1"/>
  <c r="F22" i="47"/>
  <c r="E25" i="47"/>
  <c r="F13" i="31" s="1"/>
  <c r="D20" i="47"/>
  <c r="E12" i="31" s="1"/>
  <c r="E17" i="47"/>
  <c r="F17" i="47" s="1"/>
  <c r="G17" i="47" s="1"/>
  <c r="H17" i="47" s="1"/>
  <c r="I17" i="47" s="1"/>
  <c r="J17" i="47" s="1"/>
  <c r="K17" i="47" s="1"/>
  <c r="L17" i="47" s="1"/>
  <c r="M17" i="47" s="1"/>
  <c r="C20" i="47"/>
  <c r="D12" i="31" s="1"/>
  <c r="N18" i="47"/>
  <c r="B15" i="21" s="1"/>
  <c r="N19" i="47"/>
  <c r="B16" i="21" s="1"/>
  <c r="E20" i="47"/>
  <c r="F12" i="31" s="1"/>
  <c r="F16" i="47"/>
  <c r="G12" i="47"/>
  <c r="H12" i="47" s="1"/>
  <c r="I12" i="47" s="1"/>
  <c r="J12" i="47" s="1"/>
  <c r="K12" i="47" s="1"/>
  <c r="L12" i="47" s="1"/>
  <c r="M12" i="47" s="1"/>
  <c r="E13" i="47"/>
  <c r="F13" i="47" s="1"/>
  <c r="G13" i="47" s="1"/>
  <c r="H13" i="47" s="1"/>
  <c r="I13" i="47" s="1"/>
  <c r="J13" i="47" s="1"/>
  <c r="K13" i="47" s="1"/>
  <c r="L13" i="47" s="1"/>
  <c r="M13" i="47" s="1"/>
  <c r="E9" i="47"/>
  <c r="F9" i="47" s="1"/>
  <c r="G9" i="47" s="1"/>
  <c r="H9" i="47" s="1"/>
  <c r="I9" i="47" s="1"/>
  <c r="J9" i="47" s="1"/>
  <c r="K9" i="47" s="1"/>
  <c r="L9" i="47" s="1"/>
  <c r="M9" i="47" s="1"/>
  <c r="D14" i="47"/>
  <c r="N10" i="47"/>
  <c r="B7" i="21" s="1"/>
  <c r="N11" i="47"/>
  <c r="B8" i="21" s="1"/>
  <c r="C14" i="47"/>
  <c r="E14" i="47"/>
  <c r="F8" i="47"/>
  <c r="D55" i="52"/>
  <c r="E55" i="52" s="1"/>
  <c r="F55" i="52" s="1"/>
  <c r="B97" i="31"/>
  <c r="B75" i="31"/>
  <c r="D34" i="52"/>
  <c r="C34" i="52"/>
  <c r="C51" i="31" s="1"/>
  <c r="C53" i="31" s="1"/>
  <c r="B31" i="31"/>
  <c r="E56" i="52"/>
  <c r="F56" i="52" s="1"/>
  <c r="G56" i="52" s="1"/>
  <c r="H56" i="52" s="1"/>
  <c r="I56" i="52" s="1"/>
  <c r="J56" i="52" s="1"/>
  <c r="K56" i="52" s="1"/>
  <c r="L56" i="52" s="1"/>
  <c r="M56" i="52" s="1"/>
  <c r="E57" i="52"/>
  <c r="F57" i="52" s="1"/>
  <c r="G57" i="52" s="1"/>
  <c r="H57" i="52" s="1"/>
  <c r="I57" i="52" s="1"/>
  <c r="J57" i="52" s="1"/>
  <c r="K57" i="52" s="1"/>
  <c r="L57" i="52" s="1"/>
  <c r="M57" i="52" s="1"/>
  <c r="C95" i="31"/>
  <c r="C97" i="31" s="1"/>
  <c r="F43" i="52"/>
  <c r="E44" i="52"/>
  <c r="F44" i="52" s="1"/>
  <c r="G44" i="52" s="1"/>
  <c r="H44" i="52" s="1"/>
  <c r="I44" i="52" s="1"/>
  <c r="J44" i="52" s="1"/>
  <c r="K44" i="52" s="1"/>
  <c r="L44" i="52" s="1"/>
  <c r="M44" i="52" s="1"/>
  <c r="E45" i="52"/>
  <c r="F45" i="52" s="1"/>
  <c r="G45" i="52" s="1"/>
  <c r="H45" i="52" s="1"/>
  <c r="I45" i="52" s="1"/>
  <c r="J45" i="52" s="1"/>
  <c r="K45" i="52" s="1"/>
  <c r="L45" i="52" s="1"/>
  <c r="M45" i="52" s="1"/>
  <c r="N45" i="52"/>
  <c r="E9" i="19" s="1"/>
  <c r="K13" i="54" s="1"/>
  <c r="D46" i="52"/>
  <c r="D73" i="31" s="1"/>
  <c r="D75" i="31" s="1"/>
  <c r="C73" i="31"/>
  <c r="C75" i="31" s="1"/>
  <c r="E32" i="52"/>
  <c r="F32" i="52" s="1"/>
  <c r="G32" i="52" s="1"/>
  <c r="H32" i="52" s="1"/>
  <c r="I32" i="52" s="1"/>
  <c r="J32" i="52" s="1"/>
  <c r="K32" i="52" s="1"/>
  <c r="L32" i="52" s="1"/>
  <c r="M32" i="52" s="1"/>
  <c r="D51" i="31"/>
  <c r="D53" i="31" s="1"/>
  <c r="F33" i="52"/>
  <c r="G33" i="52" s="1"/>
  <c r="H33" i="52" s="1"/>
  <c r="I33" i="52" s="1"/>
  <c r="J33" i="52" s="1"/>
  <c r="K33" i="52" s="1"/>
  <c r="L33" i="52" s="1"/>
  <c r="M33" i="52" s="1"/>
  <c r="E31" i="52"/>
  <c r="D22" i="52"/>
  <c r="D29" i="31" s="1"/>
  <c r="D31" i="31" s="1"/>
  <c r="E20" i="52"/>
  <c r="F20" i="52" s="1"/>
  <c r="G20" i="52" s="1"/>
  <c r="H20" i="52" s="1"/>
  <c r="I20" i="52" s="1"/>
  <c r="J20" i="52" s="1"/>
  <c r="K20" i="52" s="1"/>
  <c r="L20" i="52" s="1"/>
  <c r="M20" i="52" s="1"/>
  <c r="N21" i="52"/>
  <c r="C9" i="19" s="1"/>
  <c r="G13" i="54" s="1"/>
  <c r="C22" i="52"/>
  <c r="C29" i="31" s="1"/>
  <c r="C31" i="31" s="1"/>
  <c r="F19" i="52"/>
  <c r="E22" i="52"/>
  <c r="E29" i="31" s="1"/>
  <c r="E31" i="31" s="1"/>
  <c r="C25" i="12"/>
  <c r="C13" i="15" s="1"/>
  <c r="C20" i="12"/>
  <c r="C12" i="15" s="1"/>
  <c r="B30" i="12"/>
  <c r="D29" i="12"/>
  <c r="D14" i="15" s="1"/>
  <c r="E28" i="12"/>
  <c r="F28" i="12" s="1"/>
  <c r="G28" i="12" s="1"/>
  <c r="H28" i="12" s="1"/>
  <c r="I28" i="12" s="1"/>
  <c r="J28" i="12" s="1"/>
  <c r="K28" i="12" s="1"/>
  <c r="L28" i="12" s="1"/>
  <c r="M28" i="12" s="1"/>
  <c r="E29" i="12"/>
  <c r="E14" i="15" s="1"/>
  <c r="F27" i="12"/>
  <c r="D25" i="12"/>
  <c r="D13" i="15" s="1"/>
  <c r="E23" i="12"/>
  <c r="F23" i="12" s="1"/>
  <c r="G23" i="12" s="1"/>
  <c r="H23" i="12" s="1"/>
  <c r="I23" i="12" s="1"/>
  <c r="J23" i="12" s="1"/>
  <c r="K23" i="12" s="1"/>
  <c r="L23" i="12" s="1"/>
  <c r="M23" i="12" s="1"/>
  <c r="N24" i="12"/>
  <c r="F22" i="12"/>
  <c r="E17" i="12"/>
  <c r="F17" i="12" s="1"/>
  <c r="G17" i="12" s="1"/>
  <c r="H17" i="12" s="1"/>
  <c r="I17" i="12" s="1"/>
  <c r="J17" i="12" s="1"/>
  <c r="K17" i="12" s="1"/>
  <c r="L17" i="12" s="1"/>
  <c r="M17" i="12" s="1"/>
  <c r="D20" i="12"/>
  <c r="D12" i="15" s="1"/>
  <c r="N18" i="12"/>
  <c r="N19" i="12"/>
  <c r="F16" i="12"/>
  <c r="E20" i="12"/>
  <c r="E12" i="15" s="1"/>
  <c r="E13" i="12"/>
  <c r="F13" i="12" s="1"/>
  <c r="G13" i="12" s="1"/>
  <c r="H13" i="12" s="1"/>
  <c r="I13" i="12" s="1"/>
  <c r="J13" i="12" s="1"/>
  <c r="K13" i="12" s="1"/>
  <c r="L13" i="12" s="1"/>
  <c r="M13" i="12" s="1"/>
  <c r="E12" i="12"/>
  <c r="F12" i="12" s="1"/>
  <c r="G12" i="12" s="1"/>
  <c r="H12" i="12" s="1"/>
  <c r="I12" i="12" s="1"/>
  <c r="J12" i="12" s="1"/>
  <c r="K12" i="12" s="1"/>
  <c r="L12" i="12" s="1"/>
  <c r="M12" i="12" s="1"/>
  <c r="D14" i="12"/>
  <c r="E9" i="12"/>
  <c r="F9" i="12" s="1"/>
  <c r="G9" i="12" s="1"/>
  <c r="H9" i="12" s="1"/>
  <c r="I9" i="12" s="1"/>
  <c r="J9" i="12" s="1"/>
  <c r="K9" i="12" s="1"/>
  <c r="L9" i="12" s="1"/>
  <c r="M9" i="12" s="1"/>
  <c r="N10" i="12"/>
  <c r="N11" i="12"/>
  <c r="C14" i="12"/>
  <c r="C11" i="15" s="1"/>
  <c r="C15" i="15" s="1"/>
  <c r="C16" i="15" s="1"/>
  <c r="F8" i="12"/>
  <c r="B15" i="15"/>
  <c r="H9" i="9"/>
  <c r="I9" i="9" s="1"/>
  <c r="J9" i="9" s="1"/>
  <c r="K9" i="9" s="1"/>
  <c r="L9" i="9" s="1"/>
  <c r="M9" i="9" s="1"/>
  <c r="N9" i="9"/>
  <c r="D11" i="9"/>
  <c r="E10" i="9"/>
  <c r="F10" i="9" s="1"/>
  <c r="G10" i="9" s="1"/>
  <c r="H10" i="9" s="1"/>
  <c r="I10" i="9" s="1"/>
  <c r="J10" i="9" s="1"/>
  <c r="K10" i="9" s="1"/>
  <c r="L10" i="9" s="1"/>
  <c r="M10" i="9" s="1"/>
  <c r="C11" i="9"/>
  <c r="E7" i="15"/>
  <c r="E9" i="15" s="1"/>
  <c r="F8" i="9"/>
  <c r="B9" i="15"/>
  <c r="J36" i="44"/>
  <c r="B20" i="31" s="1"/>
  <c r="B21" i="31" s="1"/>
  <c r="M31" i="44"/>
  <c r="M36" i="44" s="1"/>
  <c r="M21" i="44"/>
  <c r="M19" i="44"/>
  <c r="M18" i="44"/>
  <c r="M15" i="44"/>
  <c r="M14" i="44"/>
  <c r="D11" i="45"/>
  <c r="F11" i="45" s="1"/>
  <c r="H11" i="45" s="1"/>
  <c r="J11" i="45" s="1"/>
  <c r="D10" i="45"/>
  <c r="F10" i="45" s="1"/>
  <c r="H10" i="45" s="1"/>
  <c r="J10" i="45" s="1"/>
  <c r="M11" i="44"/>
  <c r="M10" i="44"/>
  <c r="J24" i="44"/>
  <c r="L40" i="44" s="1"/>
  <c r="M8" i="44"/>
  <c r="M24" i="44" s="1"/>
  <c r="D6" i="45"/>
  <c r="A57" i="5"/>
  <c r="A31" i="5"/>
  <c r="C4" i="57"/>
  <c r="A5" i="5"/>
  <c r="G4" i="55"/>
  <c r="F4" i="57"/>
  <c r="F4" i="55"/>
  <c r="A44" i="5"/>
  <c r="E4" i="55"/>
  <c r="E4" i="57"/>
  <c r="D4" i="57"/>
  <c r="D68" i="5"/>
  <c r="M105" i="31" s="1"/>
  <c r="D64" i="5"/>
  <c r="I105" i="31" s="1"/>
  <c r="D59" i="5"/>
  <c r="D105" i="31" s="1"/>
  <c r="D57" i="5"/>
  <c r="D42" i="5"/>
  <c r="M61" i="31" s="1"/>
  <c r="D40" i="5"/>
  <c r="K61" i="31" s="1"/>
  <c r="D38" i="5"/>
  <c r="I61" i="31" s="1"/>
  <c r="D36" i="5"/>
  <c r="G61" i="31" s="1"/>
  <c r="D34" i="5"/>
  <c r="E61" i="31" s="1"/>
  <c r="D32" i="5"/>
  <c r="C61" i="31" s="1"/>
  <c r="D27" i="5"/>
  <c r="K39" i="31" s="1"/>
  <c r="D25" i="5"/>
  <c r="I39" i="31" s="1"/>
  <c r="D18" i="5"/>
  <c r="D15" i="5"/>
  <c r="M17" i="31" s="1"/>
  <c r="D13" i="5"/>
  <c r="K17" i="31" s="1"/>
  <c r="D6" i="5"/>
  <c r="D17" i="31" s="1"/>
  <c r="D67" i="5"/>
  <c r="L105" i="31" s="1"/>
  <c r="D52" i="5"/>
  <c r="J83" i="31" s="1"/>
  <c r="D46" i="5"/>
  <c r="D83" i="31" s="1"/>
  <c r="D20" i="5"/>
  <c r="D39" i="31" s="1"/>
  <c r="D8" i="5"/>
  <c r="F17" i="31" s="1"/>
  <c r="D65" i="5"/>
  <c r="J105" i="31" s="1"/>
  <c r="D62" i="5"/>
  <c r="G105" i="31" s="1"/>
  <c r="D60" i="5"/>
  <c r="E105" i="31" s="1"/>
  <c r="D55" i="5"/>
  <c r="M83" i="31" s="1"/>
  <c r="D53" i="5"/>
  <c r="K83" i="31" s="1"/>
  <c r="D51" i="5"/>
  <c r="I83" i="31" s="1"/>
  <c r="D49" i="5"/>
  <c r="G83" i="31" s="1"/>
  <c r="D47" i="5"/>
  <c r="E83" i="31" s="1"/>
  <c r="D45" i="5"/>
  <c r="C83" i="31" s="1"/>
  <c r="D28" i="5"/>
  <c r="L39" i="31" s="1"/>
  <c r="D23" i="5"/>
  <c r="G39" i="31" s="1"/>
  <c r="D21" i="5"/>
  <c r="E39" i="31" s="1"/>
  <c r="D16" i="5"/>
  <c r="N17" i="31" s="1"/>
  <c r="D11" i="5"/>
  <c r="I17" i="31" s="1"/>
  <c r="D9" i="5"/>
  <c r="G17" i="31" s="1"/>
  <c r="D63" i="5"/>
  <c r="H105" i="31" s="1"/>
  <c r="D54" i="5"/>
  <c r="L83" i="31" s="1"/>
  <c r="D50" i="5"/>
  <c r="H83" i="31" s="1"/>
  <c r="D44" i="5"/>
  <c r="D29" i="5"/>
  <c r="M39" i="31" s="1"/>
  <c r="D22" i="5"/>
  <c r="F39" i="31" s="1"/>
  <c r="D10" i="5"/>
  <c r="H17" i="31" s="1"/>
  <c r="D66" i="5"/>
  <c r="K105" i="31" s="1"/>
  <c r="D58" i="5"/>
  <c r="C105" i="31" s="1"/>
  <c r="D41" i="5"/>
  <c r="L61" i="31" s="1"/>
  <c r="D39" i="5"/>
  <c r="J61" i="31" s="1"/>
  <c r="D37" i="5"/>
  <c r="H61" i="31" s="1"/>
  <c r="D35" i="5"/>
  <c r="F61" i="31" s="1"/>
  <c r="D33" i="5"/>
  <c r="D61" i="31" s="1"/>
  <c r="D31" i="5"/>
  <c r="D26" i="5"/>
  <c r="J39" i="31" s="1"/>
  <c r="D24" i="5"/>
  <c r="H39" i="31" s="1"/>
  <c r="D19" i="5"/>
  <c r="C39" i="31" s="1"/>
  <c r="D14" i="5"/>
  <c r="L17" i="31" s="1"/>
  <c r="D12" i="5"/>
  <c r="J17" i="31" s="1"/>
  <c r="D7" i="5"/>
  <c r="E17" i="31" s="1"/>
  <c r="D5" i="5"/>
  <c r="D61" i="5"/>
  <c r="F105" i="31" s="1"/>
  <c r="D48" i="5"/>
  <c r="F83" i="31" s="1"/>
  <c r="E5" i="5"/>
  <c r="C15" i="31" s="1"/>
  <c r="E6" i="43"/>
  <c r="F2" i="42"/>
  <c r="E5" i="43"/>
  <c r="C7" i="43" l="1"/>
  <c r="D17" i="43"/>
  <c r="D43" i="43"/>
  <c r="D69" i="43"/>
  <c r="D70" i="43" s="1"/>
  <c r="D16" i="42"/>
  <c r="D14" i="42"/>
  <c r="D12" i="42"/>
  <c r="D10" i="42"/>
  <c r="D8" i="42"/>
  <c r="D6" i="42"/>
  <c r="C5" i="42"/>
  <c r="C6" i="42" s="1"/>
  <c r="C7" i="42" s="1"/>
  <c r="C8" i="42" s="1"/>
  <c r="C9" i="42" s="1"/>
  <c r="C10" i="42" s="1"/>
  <c r="C11" i="42" s="1"/>
  <c r="C12" i="42" s="1"/>
  <c r="C13" i="42" s="1"/>
  <c r="C14" i="42" s="1"/>
  <c r="C15" i="42" s="1"/>
  <c r="C16" i="42" s="1"/>
  <c r="C17" i="42" s="1"/>
  <c r="D15" i="42"/>
  <c r="D13" i="42"/>
  <c r="D11" i="42"/>
  <c r="D9" i="42"/>
  <c r="D7" i="42"/>
  <c r="D5" i="42"/>
  <c r="F6" i="43"/>
  <c r="C19" i="31"/>
  <c r="D30" i="43"/>
  <c r="N10" i="52"/>
  <c r="B9" i="19" s="1"/>
  <c r="G9" i="19" s="1"/>
  <c r="D7" i="31"/>
  <c r="E13" i="54"/>
  <c r="F8" i="52"/>
  <c r="E11" i="52"/>
  <c r="F7" i="31" s="1"/>
  <c r="F9" i="31" s="1"/>
  <c r="N9" i="52"/>
  <c r="B8" i="19" s="1"/>
  <c r="N152" i="47"/>
  <c r="F25" i="21" s="1"/>
  <c r="N137" i="47"/>
  <c r="F10" i="21" s="1"/>
  <c r="N136" i="47"/>
  <c r="F9" i="21" s="1"/>
  <c r="N106" i="47"/>
  <c r="E10" i="21" s="1"/>
  <c r="B92" i="47"/>
  <c r="N74" i="47"/>
  <c r="D9" i="21" s="1"/>
  <c r="N72" i="47"/>
  <c r="D7" i="21" s="1"/>
  <c r="N59" i="47"/>
  <c r="C25" i="21" s="1"/>
  <c r="N43" i="47"/>
  <c r="C9" i="21" s="1"/>
  <c r="E153" i="47"/>
  <c r="F151" i="47"/>
  <c r="N121" i="47"/>
  <c r="E25" i="21" s="1"/>
  <c r="E122" i="47"/>
  <c r="F120" i="47"/>
  <c r="E91" i="47"/>
  <c r="F89" i="47"/>
  <c r="F58" i="47"/>
  <c r="E60" i="47"/>
  <c r="E36" i="31" s="1"/>
  <c r="N147" i="47"/>
  <c r="F20" i="21" s="1"/>
  <c r="G146" i="47"/>
  <c r="F149" i="47"/>
  <c r="E149" i="47"/>
  <c r="E102" i="31" s="1"/>
  <c r="F115" i="47"/>
  <c r="E118" i="47"/>
  <c r="F84" i="47"/>
  <c r="E87" i="47"/>
  <c r="D57" i="31"/>
  <c r="E56" i="47"/>
  <c r="G53" i="47"/>
  <c r="F56" i="47"/>
  <c r="F35" i="31" s="1"/>
  <c r="N55" i="47"/>
  <c r="C21" i="21" s="1"/>
  <c r="N54" i="47"/>
  <c r="C20" i="21" s="1"/>
  <c r="N148" i="47"/>
  <c r="F21" i="21" s="1"/>
  <c r="E144" i="47"/>
  <c r="E100" i="31" s="1"/>
  <c r="N142" i="47"/>
  <c r="F15" i="21" s="1"/>
  <c r="C100" i="31"/>
  <c r="N141" i="47"/>
  <c r="F14" i="21" s="1"/>
  <c r="D79" i="31"/>
  <c r="N117" i="47"/>
  <c r="E21" i="21" s="1"/>
  <c r="N116" i="47"/>
  <c r="E20" i="21" s="1"/>
  <c r="N111" i="47"/>
  <c r="E15" i="21" s="1"/>
  <c r="D113" i="47"/>
  <c r="N110" i="47"/>
  <c r="E14" i="21" s="1"/>
  <c r="E58" i="31"/>
  <c r="N90" i="47"/>
  <c r="D25" i="21" s="1"/>
  <c r="N86" i="47"/>
  <c r="D21" i="21" s="1"/>
  <c r="E78" i="47"/>
  <c r="D82" i="47"/>
  <c r="D92" i="47" s="1"/>
  <c r="N81" i="47"/>
  <c r="D16" i="21" s="1"/>
  <c r="N79" i="47"/>
  <c r="D14" i="21" s="1"/>
  <c r="N50" i="47"/>
  <c r="C16" i="21" s="1"/>
  <c r="N49" i="47"/>
  <c r="C15" i="21" s="1"/>
  <c r="G15" i="21" s="1"/>
  <c r="E47" i="47"/>
  <c r="D51" i="47"/>
  <c r="E138" i="47"/>
  <c r="F132" i="47"/>
  <c r="N134" i="47"/>
  <c r="F7" i="21" s="1"/>
  <c r="G7" i="21" s="1"/>
  <c r="N133" i="47"/>
  <c r="F6" i="21" s="1"/>
  <c r="D138" i="47"/>
  <c r="N102" i="47"/>
  <c r="E6" i="21" s="1"/>
  <c r="F101" i="47"/>
  <c r="E107" i="47"/>
  <c r="D107" i="47"/>
  <c r="N105" i="47"/>
  <c r="E9" i="21" s="1"/>
  <c r="N104" i="47"/>
  <c r="E8" i="21" s="1"/>
  <c r="N71" i="47"/>
  <c r="D6" i="21" s="1"/>
  <c r="F70" i="47"/>
  <c r="E76" i="47"/>
  <c r="N73" i="47"/>
  <c r="D8" i="21" s="1"/>
  <c r="D76" i="47"/>
  <c r="N41" i="47"/>
  <c r="C7" i="21" s="1"/>
  <c r="N40" i="47"/>
  <c r="C6" i="21" s="1"/>
  <c r="D45" i="47"/>
  <c r="F39" i="47"/>
  <c r="E45" i="47"/>
  <c r="N44" i="47"/>
  <c r="C10" i="21" s="1"/>
  <c r="N42" i="47"/>
  <c r="C8" i="21" s="1"/>
  <c r="D30" i="47"/>
  <c r="E11" i="31"/>
  <c r="N9" i="47"/>
  <c r="B6" i="21" s="1"/>
  <c r="N13" i="47"/>
  <c r="B10" i="21" s="1"/>
  <c r="N28" i="47"/>
  <c r="B25" i="21" s="1"/>
  <c r="E29" i="47"/>
  <c r="F29" i="47"/>
  <c r="G27" i="47"/>
  <c r="N23" i="47"/>
  <c r="B20" i="21" s="1"/>
  <c r="F25" i="47"/>
  <c r="G22" i="47"/>
  <c r="N17" i="47"/>
  <c r="B14" i="21" s="1"/>
  <c r="G16" i="47"/>
  <c r="F20" i="47"/>
  <c r="C30" i="47"/>
  <c r="D11" i="31"/>
  <c r="N12" i="47"/>
  <c r="B9" i="21" s="1"/>
  <c r="G9" i="21" s="1"/>
  <c r="F14" i="47"/>
  <c r="G8" i="47"/>
  <c r="F11" i="31"/>
  <c r="E30" i="47"/>
  <c r="N57" i="52"/>
  <c r="F9" i="19" s="1"/>
  <c r="L13" i="54" s="1"/>
  <c r="D58" i="52"/>
  <c r="D95" i="31" s="1"/>
  <c r="D97" i="31" s="1"/>
  <c r="E58" i="52"/>
  <c r="E95" i="31" s="1"/>
  <c r="E97" i="31" s="1"/>
  <c r="G55" i="52"/>
  <c r="F58" i="52"/>
  <c r="F95" i="31" s="1"/>
  <c r="F97" i="31" s="1"/>
  <c r="N56" i="52"/>
  <c r="F8" i="19" s="1"/>
  <c r="L12" i="54" s="1"/>
  <c r="E46" i="52"/>
  <c r="N44" i="52"/>
  <c r="E8" i="19" s="1"/>
  <c r="K12" i="54" s="1"/>
  <c r="G43" i="52"/>
  <c r="F46" i="52"/>
  <c r="F73" i="31" s="1"/>
  <c r="F75" i="31" s="1"/>
  <c r="E34" i="52"/>
  <c r="F31" i="52"/>
  <c r="N33" i="52"/>
  <c r="D9" i="19" s="1"/>
  <c r="I13" i="54" s="1"/>
  <c r="N32" i="52"/>
  <c r="D8" i="19" s="1"/>
  <c r="I12" i="54" s="1"/>
  <c r="N20" i="52"/>
  <c r="C8" i="19" s="1"/>
  <c r="G12" i="54" s="1"/>
  <c r="G19" i="52"/>
  <c r="F22" i="52"/>
  <c r="D30" i="12"/>
  <c r="N12" i="12"/>
  <c r="C30" i="12"/>
  <c r="D11" i="15"/>
  <c r="D15" i="15" s="1"/>
  <c r="D16" i="15" s="1"/>
  <c r="E14" i="12"/>
  <c r="E11" i="15" s="1"/>
  <c r="N9" i="12"/>
  <c r="N28" i="12"/>
  <c r="G27" i="12"/>
  <c r="F29" i="12"/>
  <c r="N23" i="12"/>
  <c r="E25" i="12"/>
  <c r="E13" i="15" s="1"/>
  <c r="G22" i="12"/>
  <c r="F25" i="12"/>
  <c r="N17" i="12"/>
  <c r="F20" i="12"/>
  <c r="G16" i="12"/>
  <c r="N13" i="12"/>
  <c r="F14" i="12"/>
  <c r="G8" i="12"/>
  <c r="E11" i="9"/>
  <c r="N10" i="9"/>
  <c r="F7" i="15"/>
  <c r="F11" i="9"/>
  <c r="G8" i="9"/>
  <c r="B16" i="15"/>
  <c r="M38" i="44"/>
  <c r="J38" i="44"/>
  <c r="C4" i="56" s="1"/>
  <c r="F6" i="45"/>
  <c r="D21" i="45"/>
  <c r="B105" i="31"/>
  <c r="N105" i="31" s="1"/>
  <c r="D69" i="5"/>
  <c r="C6" i="5"/>
  <c r="D17" i="5"/>
  <c r="C6" i="4" s="1"/>
  <c r="C17" i="31"/>
  <c r="O17" i="31" s="1"/>
  <c r="B83" i="31"/>
  <c r="N83" i="31" s="1"/>
  <c r="D56" i="5"/>
  <c r="C9" i="4" s="1"/>
  <c r="E18" i="25" s="1"/>
  <c r="F13" i="57" s="1"/>
  <c r="F15" i="57" s="1"/>
  <c r="F16" i="57" s="1"/>
  <c r="B61" i="31"/>
  <c r="N61" i="31" s="1"/>
  <c r="D43" i="5"/>
  <c r="C8" i="4" s="1"/>
  <c r="D18" i="25" s="1"/>
  <c r="E13" i="57" s="1"/>
  <c r="E15" i="57" s="1"/>
  <c r="D30" i="5"/>
  <c r="C7" i="4" s="1"/>
  <c r="C18" i="25" s="1"/>
  <c r="D13" i="57" s="1"/>
  <c r="D15" i="57" s="1"/>
  <c r="D16" i="57" s="1"/>
  <c r="B39" i="31"/>
  <c r="N39" i="31" s="1"/>
  <c r="F5" i="5"/>
  <c r="F5" i="43"/>
  <c r="E14" i="42"/>
  <c r="F14" i="42" s="1"/>
  <c r="E10" i="42"/>
  <c r="F10" i="42" s="1"/>
  <c r="E6" i="42"/>
  <c r="F6" i="42" s="1"/>
  <c r="E12" i="42" l="1"/>
  <c r="F12" i="42" s="1"/>
  <c r="D17" i="42"/>
  <c r="D18" i="42" s="1"/>
  <c r="C20" i="31"/>
  <c r="E7" i="42"/>
  <c r="F7" i="42" s="1"/>
  <c r="E11" i="42"/>
  <c r="F11" i="42" s="1"/>
  <c r="E15" i="42"/>
  <c r="F15" i="42" s="1"/>
  <c r="E8" i="42"/>
  <c r="F8" i="42" s="1"/>
  <c r="E16" i="42"/>
  <c r="F16" i="42" s="1"/>
  <c r="E5" i="42"/>
  <c r="E9" i="42"/>
  <c r="F9" i="42" s="1"/>
  <c r="E13" i="42"/>
  <c r="F13" i="42" s="1"/>
  <c r="C8" i="43"/>
  <c r="E7" i="43"/>
  <c r="D9" i="31"/>
  <c r="E12" i="54"/>
  <c r="G8" i="19"/>
  <c r="G8" i="52"/>
  <c r="F11" i="52"/>
  <c r="G10" i="21"/>
  <c r="F153" i="47"/>
  <c r="G151" i="47"/>
  <c r="F122" i="47"/>
  <c r="F80" i="31" s="1"/>
  <c r="G120" i="47"/>
  <c r="E80" i="31"/>
  <c r="G25" i="21"/>
  <c r="G89" i="47"/>
  <c r="F91" i="47"/>
  <c r="F58" i="31" s="1"/>
  <c r="G58" i="47"/>
  <c r="F60" i="47"/>
  <c r="F36" i="31" s="1"/>
  <c r="G21" i="21"/>
  <c r="E101" i="31"/>
  <c r="H146" i="47"/>
  <c r="G149" i="47"/>
  <c r="G20" i="21"/>
  <c r="G115" i="47"/>
  <c r="F118" i="47"/>
  <c r="E57" i="31"/>
  <c r="G84" i="47"/>
  <c r="F87" i="47"/>
  <c r="G56" i="47"/>
  <c r="G35" i="31" s="1"/>
  <c r="H53" i="47"/>
  <c r="E35" i="31"/>
  <c r="G14" i="21"/>
  <c r="F101" i="31"/>
  <c r="F102" i="31"/>
  <c r="F144" i="47"/>
  <c r="E79" i="31"/>
  <c r="D78" i="31"/>
  <c r="E113" i="47"/>
  <c r="E78" i="31" s="1"/>
  <c r="D56" i="31"/>
  <c r="F78" i="47"/>
  <c r="E82" i="47"/>
  <c r="E56" i="31" s="1"/>
  <c r="G16" i="21"/>
  <c r="F47" i="47"/>
  <c r="E51" i="47"/>
  <c r="E34" i="31" s="1"/>
  <c r="D34" i="31"/>
  <c r="D154" i="47"/>
  <c r="D99" i="31"/>
  <c r="F138" i="47"/>
  <c r="G132" i="47"/>
  <c r="E154" i="47"/>
  <c r="E99" i="31"/>
  <c r="E77" i="31"/>
  <c r="G101" i="47"/>
  <c r="F107" i="47"/>
  <c r="D77" i="31"/>
  <c r="D123" i="47"/>
  <c r="E55" i="31"/>
  <c r="G70" i="47"/>
  <c r="F76" i="47"/>
  <c r="G8" i="21"/>
  <c r="D55" i="31"/>
  <c r="G6" i="21"/>
  <c r="G39" i="47"/>
  <c r="F45" i="47"/>
  <c r="E33" i="31"/>
  <c r="D61" i="47"/>
  <c r="D33" i="31"/>
  <c r="H27" i="47"/>
  <c r="G29" i="47"/>
  <c r="H22" i="47"/>
  <c r="G25" i="47"/>
  <c r="H13" i="31" s="1"/>
  <c r="G13" i="31"/>
  <c r="G12" i="31"/>
  <c r="H16" i="47"/>
  <c r="G20" i="47"/>
  <c r="H12" i="31" s="1"/>
  <c r="H8" i="47"/>
  <c r="G14" i="47"/>
  <c r="F30" i="47"/>
  <c r="G11" i="31"/>
  <c r="H55" i="52"/>
  <c r="G58" i="52"/>
  <c r="H43" i="52"/>
  <c r="G46" i="52"/>
  <c r="G73" i="31" s="1"/>
  <c r="G75" i="31" s="1"/>
  <c r="E73" i="31"/>
  <c r="G31" i="52"/>
  <c r="F34" i="52"/>
  <c r="F51" i="31" s="1"/>
  <c r="F53" i="31" s="1"/>
  <c r="E51" i="31"/>
  <c r="E53" i="31" s="1"/>
  <c r="F29" i="31"/>
  <c r="H19" i="52"/>
  <c r="G22" i="52"/>
  <c r="G29" i="31" s="1"/>
  <c r="G31" i="31" s="1"/>
  <c r="E15" i="15"/>
  <c r="E16" i="15" s="1"/>
  <c r="E30" i="12"/>
  <c r="F14" i="15"/>
  <c r="H27" i="12"/>
  <c r="G29" i="12"/>
  <c r="G14" i="15" s="1"/>
  <c r="F13" i="15"/>
  <c r="H22" i="12"/>
  <c r="G25" i="12"/>
  <c r="G13" i="15" s="1"/>
  <c r="H16" i="12"/>
  <c r="G20" i="12"/>
  <c r="G12" i="15" s="1"/>
  <c r="F12" i="15"/>
  <c r="H8" i="12"/>
  <c r="G14" i="12"/>
  <c r="F30" i="12"/>
  <c r="F11" i="15"/>
  <c r="H8" i="9"/>
  <c r="G11" i="9"/>
  <c r="G7" i="15"/>
  <c r="G9" i="15" s="1"/>
  <c r="F9" i="15"/>
  <c r="B17" i="15"/>
  <c r="B12" i="57"/>
  <c r="B18" i="31"/>
  <c r="O18" i="31" s="1"/>
  <c r="F21" i="45"/>
  <c r="E17" i="54" s="1"/>
  <c r="H6" i="45"/>
  <c r="C10" i="4"/>
  <c r="F18" i="25" s="1"/>
  <c r="G13" i="57" s="1"/>
  <c r="G15" i="57" s="1"/>
  <c r="D70" i="5"/>
  <c r="C7" i="5"/>
  <c r="E6" i="5"/>
  <c r="B18" i="25"/>
  <c r="C11" i="4"/>
  <c r="F5" i="42"/>
  <c r="F7" i="43" l="1"/>
  <c r="E17" i="42"/>
  <c r="E18" i="42" s="1"/>
  <c r="F18" i="42" s="1"/>
  <c r="C9" i="43"/>
  <c r="E8" i="43"/>
  <c r="F8" i="43" s="1"/>
  <c r="F17" i="42"/>
  <c r="C21" i="31"/>
  <c r="G7" i="31"/>
  <c r="H8" i="52"/>
  <c r="G11" i="52"/>
  <c r="H7" i="31" s="1"/>
  <c r="H9" i="31" s="1"/>
  <c r="E92" i="47"/>
  <c r="E61" i="47"/>
  <c r="H151" i="47"/>
  <c r="G153" i="47"/>
  <c r="H120" i="47"/>
  <c r="G122" i="47"/>
  <c r="H89" i="47"/>
  <c r="G91" i="47"/>
  <c r="H58" i="47"/>
  <c r="G60" i="47"/>
  <c r="I146" i="47"/>
  <c r="H149" i="47"/>
  <c r="G118" i="47"/>
  <c r="H115" i="47"/>
  <c r="F57" i="31"/>
  <c r="G87" i="47"/>
  <c r="H84" i="47"/>
  <c r="H56" i="47"/>
  <c r="I53" i="47"/>
  <c r="G101" i="31"/>
  <c r="G102" i="31"/>
  <c r="F100" i="31"/>
  <c r="G144" i="47"/>
  <c r="G100" i="31" s="1"/>
  <c r="F79" i="31"/>
  <c r="E123" i="47"/>
  <c r="F113" i="47"/>
  <c r="F78" i="31" s="1"/>
  <c r="G58" i="31"/>
  <c r="F82" i="47"/>
  <c r="F56" i="31" s="1"/>
  <c r="G78" i="47"/>
  <c r="F51" i="47"/>
  <c r="F61" i="47" s="1"/>
  <c r="G47" i="47"/>
  <c r="H132" i="47"/>
  <c r="G138" i="47"/>
  <c r="F99" i="31"/>
  <c r="F154" i="47"/>
  <c r="H101" i="47"/>
  <c r="G107" i="47"/>
  <c r="F77" i="31"/>
  <c r="H70" i="47"/>
  <c r="G76" i="47"/>
  <c r="F55" i="31"/>
  <c r="F33" i="31"/>
  <c r="H39" i="47"/>
  <c r="G45" i="47"/>
  <c r="I27" i="47"/>
  <c r="H29" i="47"/>
  <c r="H25" i="47"/>
  <c r="I22" i="47"/>
  <c r="H20" i="47"/>
  <c r="I12" i="31" s="1"/>
  <c r="I16" i="47"/>
  <c r="G30" i="47"/>
  <c r="H11" i="31"/>
  <c r="I8" i="47"/>
  <c r="H14" i="47"/>
  <c r="E75" i="31"/>
  <c r="F31" i="31"/>
  <c r="G95" i="31"/>
  <c r="I55" i="52"/>
  <c r="H58" i="52"/>
  <c r="H95" i="31" s="1"/>
  <c r="H97" i="31" s="1"/>
  <c r="I43" i="52"/>
  <c r="H46" i="52"/>
  <c r="H73" i="31" s="1"/>
  <c r="H75" i="31" s="1"/>
  <c r="G34" i="52"/>
  <c r="H31" i="52"/>
  <c r="H22" i="52"/>
  <c r="H29" i="31" s="1"/>
  <c r="H31" i="31" s="1"/>
  <c r="I19" i="52"/>
  <c r="H29" i="12"/>
  <c r="H14" i="15" s="1"/>
  <c r="I27" i="12"/>
  <c r="H25" i="12"/>
  <c r="H13" i="15" s="1"/>
  <c r="I22" i="12"/>
  <c r="F15" i="15"/>
  <c r="F16" i="15" s="1"/>
  <c r="H20" i="12"/>
  <c r="I16" i="12"/>
  <c r="G30" i="12"/>
  <c r="G11" i="15"/>
  <c r="H14" i="12"/>
  <c r="I8" i="12"/>
  <c r="H11" i="9"/>
  <c r="I8" i="9"/>
  <c r="H7" i="15"/>
  <c r="H9" i="15" s="1"/>
  <c r="C17" i="15"/>
  <c r="D17" i="15" s="1"/>
  <c r="E17" i="15" s="1"/>
  <c r="H21" i="45"/>
  <c r="I17" i="54" s="1"/>
  <c r="J6" i="45"/>
  <c r="J21" i="45" s="1"/>
  <c r="L17" i="54" s="1"/>
  <c r="C8" i="5"/>
  <c r="E7" i="5"/>
  <c r="C13" i="57"/>
  <c r="C15" i="57" s="1"/>
  <c r="G18" i="25"/>
  <c r="D15" i="31"/>
  <c r="F6" i="5"/>
  <c r="D19" i="31" l="1"/>
  <c r="C10" i="43"/>
  <c r="E9" i="43"/>
  <c r="F9" i="43" s="1"/>
  <c r="G9" i="31"/>
  <c r="H11" i="52"/>
  <c r="I7" i="31" s="1"/>
  <c r="I9" i="31" s="1"/>
  <c r="I8" i="52"/>
  <c r="F92" i="47"/>
  <c r="I151" i="47"/>
  <c r="H153" i="47"/>
  <c r="G80" i="31"/>
  <c r="H122" i="47"/>
  <c r="H80" i="31" s="1"/>
  <c r="I120" i="47"/>
  <c r="H91" i="47"/>
  <c r="I89" i="47"/>
  <c r="G36" i="31"/>
  <c r="H60" i="47"/>
  <c r="H36" i="31" s="1"/>
  <c r="I58" i="47"/>
  <c r="I149" i="47"/>
  <c r="J146" i="47"/>
  <c r="H118" i="47"/>
  <c r="I115" i="47"/>
  <c r="H87" i="47"/>
  <c r="I84" i="47"/>
  <c r="G92" i="47"/>
  <c r="G57" i="31"/>
  <c r="J53" i="47"/>
  <c r="I56" i="47"/>
  <c r="I35" i="31" s="1"/>
  <c r="H35" i="31"/>
  <c r="F123" i="47"/>
  <c r="H102" i="31"/>
  <c r="H101" i="31"/>
  <c r="H144" i="47"/>
  <c r="H100" i="31" s="1"/>
  <c r="G79" i="31"/>
  <c r="G113" i="47"/>
  <c r="G78" i="31" s="1"/>
  <c r="H58" i="31"/>
  <c r="G82" i="47"/>
  <c r="H78" i="47"/>
  <c r="G51" i="47"/>
  <c r="G34" i="31" s="1"/>
  <c r="H47" i="47"/>
  <c r="F34" i="31"/>
  <c r="G99" i="31"/>
  <c r="G154" i="47"/>
  <c r="I132" i="47"/>
  <c r="H138" i="47"/>
  <c r="G77" i="31"/>
  <c r="I101" i="47"/>
  <c r="H107" i="47"/>
  <c r="H76" i="47"/>
  <c r="I70" i="47"/>
  <c r="G55" i="31"/>
  <c r="G33" i="31"/>
  <c r="I39" i="47"/>
  <c r="H45" i="47"/>
  <c r="J27" i="47"/>
  <c r="I29" i="47"/>
  <c r="J22" i="47"/>
  <c r="I25" i="47"/>
  <c r="J13" i="31" s="1"/>
  <c r="I13" i="31"/>
  <c r="J16" i="47"/>
  <c r="I20" i="47"/>
  <c r="I11" i="31"/>
  <c r="H30" i="47"/>
  <c r="I14" i="47"/>
  <c r="J8" i="47"/>
  <c r="G97" i="31"/>
  <c r="J55" i="52"/>
  <c r="I58" i="52"/>
  <c r="I95" i="31" s="1"/>
  <c r="I97" i="31" s="1"/>
  <c r="J43" i="52"/>
  <c r="I46" i="52"/>
  <c r="I73" i="31" s="1"/>
  <c r="I75" i="31" s="1"/>
  <c r="H34" i="52"/>
  <c r="H51" i="31" s="1"/>
  <c r="I31" i="52"/>
  <c r="G51" i="31"/>
  <c r="G53" i="31" s="1"/>
  <c r="I22" i="52"/>
  <c r="I29" i="31" s="1"/>
  <c r="I31" i="31" s="1"/>
  <c r="J19" i="52"/>
  <c r="I29" i="12"/>
  <c r="J27" i="12"/>
  <c r="F17" i="15"/>
  <c r="I25" i="12"/>
  <c r="J22" i="12"/>
  <c r="H12" i="15"/>
  <c r="I20" i="12"/>
  <c r="I12" i="15" s="1"/>
  <c r="J16" i="12"/>
  <c r="G15" i="15"/>
  <c r="G16" i="15" s="1"/>
  <c r="I14" i="12"/>
  <c r="J8" i="12"/>
  <c r="H30" i="12"/>
  <c r="H11" i="15"/>
  <c r="I7" i="15"/>
  <c r="I9" i="15" s="1"/>
  <c r="I11" i="9"/>
  <c r="J8" i="9"/>
  <c r="F7" i="5"/>
  <c r="E15" i="31"/>
  <c r="E19" i="31" s="1"/>
  <c r="E20" i="31" s="1"/>
  <c r="C9" i="5"/>
  <c r="E8" i="5"/>
  <c r="C11" i="43" l="1"/>
  <c r="E10" i="43"/>
  <c r="F10" i="43" s="1"/>
  <c r="D20" i="31"/>
  <c r="I11" i="52"/>
  <c r="J8" i="52"/>
  <c r="G61" i="47"/>
  <c r="I153" i="47"/>
  <c r="J151" i="47"/>
  <c r="I122" i="47"/>
  <c r="I80" i="31" s="1"/>
  <c r="J120" i="47"/>
  <c r="I91" i="47"/>
  <c r="J89" i="47"/>
  <c r="J58" i="47"/>
  <c r="I60" i="47"/>
  <c r="I36" i="31" s="1"/>
  <c r="K146" i="47"/>
  <c r="J149" i="47"/>
  <c r="J115" i="47"/>
  <c r="I118" i="47"/>
  <c r="J84" i="47"/>
  <c r="I87" i="47"/>
  <c r="H57" i="31"/>
  <c r="K53" i="47"/>
  <c r="J56" i="47"/>
  <c r="G123" i="47"/>
  <c r="I102" i="31"/>
  <c r="I101" i="31"/>
  <c r="I144" i="47"/>
  <c r="H79" i="31"/>
  <c r="H113" i="47"/>
  <c r="H123" i="47" s="1"/>
  <c r="I58" i="31"/>
  <c r="I78" i="47"/>
  <c r="H82" i="47"/>
  <c r="H56" i="31" s="1"/>
  <c r="G56" i="31"/>
  <c r="I47" i="47"/>
  <c r="H51" i="47"/>
  <c r="H61" i="47" s="1"/>
  <c r="H154" i="47"/>
  <c r="H99" i="31"/>
  <c r="I138" i="47"/>
  <c r="J132" i="47"/>
  <c r="H77" i="31"/>
  <c r="J101" i="47"/>
  <c r="I107" i="47"/>
  <c r="J70" i="47"/>
  <c r="I76" i="47"/>
  <c r="H55" i="31"/>
  <c r="H33" i="31"/>
  <c r="J39" i="47"/>
  <c r="I45" i="47"/>
  <c r="K27" i="47"/>
  <c r="J29" i="47"/>
  <c r="J25" i="47"/>
  <c r="K22" i="47"/>
  <c r="J12" i="31"/>
  <c r="J20" i="47"/>
  <c r="K12" i="31" s="1"/>
  <c r="K16" i="47"/>
  <c r="J11" i="31"/>
  <c r="I30" i="47"/>
  <c r="J14" i="47"/>
  <c r="K8" i="47"/>
  <c r="K55" i="52"/>
  <c r="J58" i="52"/>
  <c r="J95" i="31" s="1"/>
  <c r="J97" i="31" s="1"/>
  <c r="K43" i="52"/>
  <c r="J46" i="52"/>
  <c r="J73" i="31" s="1"/>
  <c r="J75" i="31" s="1"/>
  <c r="I34" i="52"/>
  <c r="J31" i="52"/>
  <c r="H53" i="31"/>
  <c r="J22" i="52"/>
  <c r="K19" i="52"/>
  <c r="J29" i="12"/>
  <c r="J14" i="15" s="1"/>
  <c r="K27" i="12"/>
  <c r="G17" i="15"/>
  <c r="I14" i="15"/>
  <c r="K22" i="12"/>
  <c r="J25" i="12"/>
  <c r="J13" i="15" s="1"/>
  <c r="I13" i="15"/>
  <c r="K16" i="12"/>
  <c r="J20" i="12"/>
  <c r="J12" i="15" s="1"/>
  <c r="H15" i="15"/>
  <c r="H16" i="15" s="1"/>
  <c r="K8" i="12"/>
  <c r="J14" i="12"/>
  <c r="I11" i="15"/>
  <c r="I30" i="12"/>
  <c r="K8" i="9"/>
  <c r="J7" i="15"/>
  <c r="J9" i="15" s="1"/>
  <c r="J11" i="9"/>
  <c r="C10" i="5"/>
  <c r="E9" i="5"/>
  <c r="F15" i="31"/>
  <c r="F19" i="31" s="1"/>
  <c r="F20" i="31" s="1"/>
  <c r="F8" i="5"/>
  <c r="C12" i="43" l="1"/>
  <c r="E11" i="43"/>
  <c r="D21" i="31"/>
  <c r="E21" i="31" s="1"/>
  <c r="F21" i="31" s="1"/>
  <c r="K8" i="52"/>
  <c r="J11" i="52"/>
  <c r="K7" i="31" s="1"/>
  <c r="K9" i="31" s="1"/>
  <c r="J7" i="31"/>
  <c r="H92" i="47"/>
  <c r="K151" i="47"/>
  <c r="J153" i="47"/>
  <c r="J122" i="47"/>
  <c r="J80" i="31" s="1"/>
  <c r="K120" i="47"/>
  <c r="K89" i="47"/>
  <c r="J91" i="47"/>
  <c r="J58" i="31" s="1"/>
  <c r="K58" i="47"/>
  <c r="J60" i="47"/>
  <c r="J36" i="31" s="1"/>
  <c r="L146" i="47"/>
  <c r="K149" i="47"/>
  <c r="K115" i="47"/>
  <c r="J118" i="47"/>
  <c r="I57" i="31"/>
  <c r="K84" i="47"/>
  <c r="J87" i="47"/>
  <c r="J35" i="31"/>
  <c r="K56" i="47"/>
  <c r="K35" i="31" s="1"/>
  <c r="L53" i="47"/>
  <c r="J101" i="31"/>
  <c r="J102" i="31"/>
  <c r="I100" i="31"/>
  <c r="J144" i="47"/>
  <c r="J100" i="31" s="1"/>
  <c r="I79" i="31"/>
  <c r="I113" i="47"/>
  <c r="I78" i="31" s="1"/>
  <c r="H78" i="31"/>
  <c r="J78" i="47"/>
  <c r="I82" i="47"/>
  <c r="I56" i="31" s="1"/>
  <c r="H34" i="31"/>
  <c r="J47" i="47"/>
  <c r="I51" i="47"/>
  <c r="I34" i="31" s="1"/>
  <c r="J138" i="47"/>
  <c r="K132" i="47"/>
  <c r="I154" i="47"/>
  <c r="I99" i="31"/>
  <c r="K101" i="47"/>
  <c r="J107" i="47"/>
  <c r="I77" i="31"/>
  <c r="I55" i="31"/>
  <c r="K70" i="47"/>
  <c r="J76" i="47"/>
  <c r="K39" i="47"/>
  <c r="J45" i="47"/>
  <c r="I33" i="31"/>
  <c r="L27" i="47"/>
  <c r="K29" i="47"/>
  <c r="L22" i="47"/>
  <c r="K25" i="47"/>
  <c r="L13" i="31" s="1"/>
  <c r="K13" i="31"/>
  <c r="L16" i="47"/>
  <c r="K20" i="47"/>
  <c r="L12" i="31" s="1"/>
  <c r="L8" i="47"/>
  <c r="K14" i="47"/>
  <c r="J30" i="47"/>
  <c r="K11" i="31"/>
  <c r="K58" i="52"/>
  <c r="K95" i="31" s="1"/>
  <c r="K97" i="31" s="1"/>
  <c r="L55" i="52"/>
  <c r="L43" i="52"/>
  <c r="K46" i="52"/>
  <c r="K73" i="31" s="1"/>
  <c r="K75" i="31" s="1"/>
  <c r="K31" i="52"/>
  <c r="J34" i="52"/>
  <c r="J51" i="31" s="1"/>
  <c r="J53" i="31" s="1"/>
  <c r="I51" i="31"/>
  <c r="L19" i="52"/>
  <c r="K22" i="52"/>
  <c r="K29" i="31" s="1"/>
  <c r="K31" i="31" s="1"/>
  <c r="J29" i="31"/>
  <c r="J31" i="31" s="1"/>
  <c r="H17" i="15"/>
  <c r="L27" i="12"/>
  <c r="K29" i="12"/>
  <c r="I15" i="15"/>
  <c r="I16" i="15" s="1"/>
  <c r="L22" i="12"/>
  <c r="K25" i="12"/>
  <c r="K13" i="15" s="1"/>
  <c r="L16" i="12"/>
  <c r="K20" i="12"/>
  <c r="J11" i="15"/>
  <c r="J15" i="15" s="1"/>
  <c r="J16" i="15" s="1"/>
  <c r="J30" i="12"/>
  <c r="L8" i="12"/>
  <c r="K14" i="12"/>
  <c r="L8" i="9"/>
  <c r="K11" i="9"/>
  <c r="K7" i="15"/>
  <c r="K9" i="15" s="1"/>
  <c r="G15" i="31"/>
  <c r="F9" i="5"/>
  <c r="C11" i="5"/>
  <c r="E10" i="5"/>
  <c r="C13" i="43" l="1"/>
  <c r="E12" i="43"/>
  <c r="F12" i="43" s="1"/>
  <c r="G19" i="31"/>
  <c r="F11" i="43"/>
  <c r="J9" i="31"/>
  <c r="K11" i="52"/>
  <c r="L8" i="52"/>
  <c r="I92" i="47"/>
  <c r="L151" i="47"/>
  <c r="K153" i="47"/>
  <c r="L120" i="47"/>
  <c r="K122" i="47"/>
  <c r="K80" i="31" s="1"/>
  <c r="L89" i="47"/>
  <c r="K91" i="47"/>
  <c r="K58" i="31" s="1"/>
  <c r="L58" i="47"/>
  <c r="K60" i="47"/>
  <c r="K36" i="31" s="1"/>
  <c r="L149" i="47"/>
  <c r="M146" i="47"/>
  <c r="M149" i="47" s="1"/>
  <c r="N146" i="47"/>
  <c r="F19" i="21" s="1"/>
  <c r="K118" i="47"/>
  <c r="L115" i="47"/>
  <c r="J57" i="31"/>
  <c r="K87" i="47"/>
  <c r="L84" i="47"/>
  <c r="L56" i="47"/>
  <c r="L35" i="31" s="1"/>
  <c r="M53" i="47"/>
  <c r="M56" i="47" s="1"/>
  <c r="I123" i="47"/>
  <c r="K102" i="31"/>
  <c r="K101" i="31"/>
  <c r="K144" i="47"/>
  <c r="K100" i="31" s="1"/>
  <c r="J79" i="31"/>
  <c r="J113" i="47"/>
  <c r="J78" i="31" s="1"/>
  <c r="J82" i="47"/>
  <c r="J56" i="31" s="1"/>
  <c r="K78" i="47"/>
  <c r="I61" i="47"/>
  <c r="J51" i="47"/>
  <c r="J34" i="31" s="1"/>
  <c r="K47" i="47"/>
  <c r="L132" i="47"/>
  <c r="K138" i="47"/>
  <c r="J99" i="31"/>
  <c r="J154" i="47"/>
  <c r="J77" i="31"/>
  <c r="L101" i="47"/>
  <c r="K107" i="47"/>
  <c r="J55" i="31"/>
  <c r="L70" i="47"/>
  <c r="K76" i="47"/>
  <c r="J33" i="31"/>
  <c r="J61" i="47"/>
  <c r="L39" i="47"/>
  <c r="K45" i="47"/>
  <c r="M27" i="47"/>
  <c r="L29" i="47"/>
  <c r="M22" i="47"/>
  <c r="M25" i="47" s="1"/>
  <c r="N13" i="31" s="1"/>
  <c r="L25" i="47"/>
  <c r="L20" i="47"/>
  <c r="M12" i="31" s="1"/>
  <c r="M16" i="47"/>
  <c r="L11" i="31"/>
  <c r="K30" i="47"/>
  <c r="M8" i="47"/>
  <c r="L14" i="47"/>
  <c r="M55" i="52"/>
  <c r="L58" i="52"/>
  <c r="L95" i="31" s="1"/>
  <c r="L97" i="31" s="1"/>
  <c r="M43" i="52"/>
  <c r="L46" i="52"/>
  <c r="L73" i="31" s="1"/>
  <c r="L75" i="31" s="1"/>
  <c r="I53" i="31"/>
  <c r="K34" i="52"/>
  <c r="L31" i="52"/>
  <c r="L22" i="52"/>
  <c r="L29" i="31" s="1"/>
  <c r="L31" i="31" s="1"/>
  <c r="M19" i="52"/>
  <c r="I17" i="15"/>
  <c r="K14" i="15"/>
  <c r="L29" i="12"/>
  <c r="L14" i="15" s="1"/>
  <c r="M27" i="12"/>
  <c r="M29" i="12" s="1"/>
  <c r="M14" i="15" s="1"/>
  <c r="N14" i="15" s="1"/>
  <c r="J17" i="15"/>
  <c r="L25" i="12"/>
  <c r="L13" i="15" s="1"/>
  <c r="M22" i="12"/>
  <c r="M25" i="12" s="1"/>
  <c r="N22" i="12"/>
  <c r="K12" i="15"/>
  <c r="L20" i="12"/>
  <c r="L12" i="15" s="1"/>
  <c r="M16" i="12"/>
  <c r="M20" i="12" s="1"/>
  <c r="M12" i="15" s="1"/>
  <c r="K30" i="12"/>
  <c r="K11" i="15"/>
  <c r="L14" i="12"/>
  <c r="M8" i="12"/>
  <c r="M14" i="12" s="1"/>
  <c r="L11" i="9"/>
  <c r="M8" i="9"/>
  <c r="L7" i="15"/>
  <c r="L9" i="15" s="1"/>
  <c r="N8" i="9"/>
  <c r="H15" i="31"/>
  <c r="H19" i="31" s="1"/>
  <c r="H20" i="31" s="1"/>
  <c r="F10" i="5"/>
  <c r="E11" i="5"/>
  <c r="C12" i="5"/>
  <c r="G20" i="31" l="1"/>
  <c r="C14" i="43"/>
  <c r="E13" i="43"/>
  <c r="L11" i="52"/>
  <c r="M7" i="31" s="1"/>
  <c r="M9" i="31" s="1"/>
  <c r="M8" i="52"/>
  <c r="L7" i="31"/>
  <c r="L9" i="31" s="1"/>
  <c r="J123" i="47"/>
  <c r="J92" i="47"/>
  <c r="N53" i="47"/>
  <c r="C19" i="21" s="1"/>
  <c r="M151" i="47"/>
  <c r="M153" i="47" s="1"/>
  <c r="L153" i="47"/>
  <c r="N151" i="47"/>
  <c r="F24" i="21" s="1"/>
  <c r="M120" i="47"/>
  <c r="L122" i="47"/>
  <c r="L80" i="31" s="1"/>
  <c r="L91" i="47"/>
  <c r="M89" i="47"/>
  <c r="M91" i="47" s="1"/>
  <c r="N89" i="47"/>
  <c r="D24" i="21" s="1"/>
  <c r="M58" i="47"/>
  <c r="L60" i="47"/>
  <c r="L36" i="31" s="1"/>
  <c r="L118" i="47"/>
  <c r="M115" i="47"/>
  <c r="M118" i="47" s="1"/>
  <c r="L87" i="47"/>
  <c r="M84" i="47"/>
  <c r="K92" i="47"/>
  <c r="K57" i="31"/>
  <c r="M35" i="31"/>
  <c r="N35" i="31" s="1"/>
  <c r="N56" i="47"/>
  <c r="C22" i="21" s="1"/>
  <c r="C13" i="22" s="1"/>
  <c r="C14" i="25" s="1"/>
  <c r="L102" i="31"/>
  <c r="L101" i="31"/>
  <c r="L144" i="47"/>
  <c r="L100" i="31" s="1"/>
  <c r="K79" i="31"/>
  <c r="K113" i="47"/>
  <c r="K78" i="31" s="1"/>
  <c r="L58" i="31"/>
  <c r="M58" i="31"/>
  <c r="N58" i="31" s="1"/>
  <c r="N91" i="47"/>
  <c r="D26" i="21" s="1"/>
  <c r="D14" i="22" s="1"/>
  <c r="D15" i="25" s="1"/>
  <c r="L78" i="47"/>
  <c r="K82" i="47"/>
  <c r="K56" i="31" s="1"/>
  <c r="L47" i="47"/>
  <c r="K51" i="47"/>
  <c r="K34" i="31" s="1"/>
  <c r="K99" i="31"/>
  <c r="K154" i="47"/>
  <c r="M132" i="47"/>
  <c r="L138" i="47"/>
  <c r="M101" i="47"/>
  <c r="L107" i="47"/>
  <c r="K77" i="31"/>
  <c r="K123" i="47"/>
  <c r="K55" i="31"/>
  <c r="M70" i="47"/>
  <c r="L76" i="47"/>
  <c r="K61" i="47"/>
  <c r="K33" i="31"/>
  <c r="L45" i="47"/>
  <c r="M39" i="47"/>
  <c r="N22" i="47"/>
  <c r="B19" i="21" s="1"/>
  <c r="M29" i="47"/>
  <c r="N29" i="47" s="1"/>
  <c r="B26" i="21" s="1"/>
  <c r="N27" i="47"/>
  <c r="B24" i="21" s="1"/>
  <c r="M13" i="31"/>
  <c r="O13" i="31" s="1"/>
  <c r="N25" i="47"/>
  <c r="B22" i="21" s="1"/>
  <c r="M20" i="47"/>
  <c r="N16" i="47"/>
  <c r="B13" i="21" s="1"/>
  <c r="M14" i="47"/>
  <c r="N8" i="47"/>
  <c r="B5" i="21" s="1"/>
  <c r="M11" i="31"/>
  <c r="L30" i="47"/>
  <c r="M58" i="52"/>
  <c r="N55" i="52"/>
  <c r="F7" i="19" s="1"/>
  <c r="M46" i="52"/>
  <c r="N43" i="52"/>
  <c r="E7" i="19" s="1"/>
  <c r="L34" i="52"/>
  <c r="L51" i="31" s="1"/>
  <c r="L53" i="31" s="1"/>
  <c r="M31" i="52"/>
  <c r="K51" i="31"/>
  <c r="M22" i="52"/>
  <c r="N19" i="52"/>
  <c r="C7" i="19" s="1"/>
  <c r="K15" i="15"/>
  <c r="K16" i="15" s="1"/>
  <c r="K17" i="15" s="1"/>
  <c r="N12" i="15"/>
  <c r="N14" i="12"/>
  <c r="N29" i="12"/>
  <c r="N27" i="12"/>
  <c r="M13" i="15"/>
  <c r="N13" i="15" s="1"/>
  <c r="N25" i="12"/>
  <c r="N20" i="12"/>
  <c r="N16" i="12"/>
  <c r="L30" i="12"/>
  <c r="L11" i="15"/>
  <c r="L15" i="15" s="1"/>
  <c r="L16" i="15" s="1"/>
  <c r="L17" i="15" s="1"/>
  <c r="M11" i="15"/>
  <c r="M30" i="12"/>
  <c r="N8" i="12"/>
  <c r="M7" i="15"/>
  <c r="M11" i="9"/>
  <c r="N11" i="9" s="1"/>
  <c r="C13" i="5"/>
  <c r="E12" i="5"/>
  <c r="F11" i="5"/>
  <c r="I15" i="31"/>
  <c r="I19" i="31" l="1"/>
  <c r="F13" i="43"/>
  <c r="C15" i="43"/>
  <c r="E14" i="43"/>
  <c r="F14" i="43" s="1"/>
  <c r="G21" i="31"/>
  <c r="H21" i="31" s="1"/>
  <c r="M11" i="52"/>
  <c r="N8" i="52"/>
  <c r="B7" i="19" s="1"/>
  <c r="N115" i="47"/>
  <c r="E19" i="21" s="1"/>
  <c r="N153" i="47"/>
  <c r="F26" i="21" s="1"/>
  <c r="F14" i="22" s="1"/>
  <c r="F15" i="25" s="1"/>
  <c r="M122" i="47"/>
  <c r="N120" i="47"/>
  <c r="E24" i="21" s="1"/>
  <c r="M60" i="47"/>
  <c r="N58" i="47"/>
  <c r="C24" i="21" s="1"/>
  <c r="G24" i="21" s="1"/>
  <c r="M87" i="47"/>
  <c r="N84" i="47"/>
  <c r="D19" i="21" s="1"/>
  <c r="G19" i="21" s="1"/>
  <c r="L92" i="47"/>
  <c r="L57" i="31"/>
  <c r="M102" i="31"/>
  <c r="N102" i="31" s="1"/>
  <c r="M101" i="31"/>
  <c r="N101" i="31" s="1"/>
  <c r="N149" i="47"/>
  <c r="F22" i="21" s="1"/>
  <c r="F13" i="22" s="1"/>
  <c r="F14" i="25" s="1"/>
  <c r="M144" i="47"/>
  <c r="N140" i="47"/>
  <c r="F13" i="21" s="1"/>
  <c r="L79" i="31"/>
  <c r="L113" i="47"/>
  <c r="L78" i="31" s="1"/>
  <c r="M78" i="47"/>
  <c r="L82" i="47"/>
  <c r="L56" i="31" s="1"/>
  <c r="M47" i="47"/>
  <c r="L51" i="47"/>
  <c r="L34" i="31" s="1"/>
  <c r="M138" i="47"/>
  <c r="N132" i="47"/>
  <c r="F5" i="21" s="1"/>
  <c r="L154" i="47"/>
  <c r="L99" i="31"/>
  <c r="L77" i="31"/>
  <c r="M107" i="47"/>
  <c r="N101" i="47"/>
  <c r="E5" i="21" s="1"/>
  <c r="M76" i="47"/>
  <c r="N70" i="47"/>
  <c r="D5" i="21" s="1"/>
  <c r="L55" i="31"/>
  <c r="L61" i="47"/>
  <c r="L33" i="31"/>
  <c r="M45" i="47"/>
  <c r="N39" i="47"/>
  <c r="C5" i="21" s="1"/>
  <c r="B14" i="22"/>
  <c r="B13" i="22"/>
  <c r="N12" i="31"/>
  <c r="O12" i="31" s="1"/>
  <c r="N20" i="47"/>
  <c r="B17" i="21" s="1"/>
  <c r="N11" i="31"/>
  <c r="M30" i="47"/>
  <c r="N30" i="47" s="1"/>
  <c r="B27" i="21" s="1"/>
  <c r="N14" i="47"/>
  <c r="B11" i="21" s="1"/>
  <c r="F7" i="22"/>
  <c r="F9" i="22" s="1"/>
  <c r="F10" i="19"/>
  <c r="F8" i="25" s="1"/>
  <c r="F10" i="25" s="1"/>
  <c r="L11" i="54"/>
  <c r="L14" i="54" s="1"/>
  <c r="M95" i="31"/>
  <c r="N58" i="52"/>
  <c r="K11" i="54"/>
  <c r="K14" i="54" s="1"/>
  <c r="E10" i="19"/>
  <c r="E8" i="25" s="1"/>
  <c r="E10" i="25" s="1"/>
  <c r="E7" i="22"/>
  <c r="E9" i="22" s="1"/>
  <c r="M73" i="31"/>
  <c r="N46" i="52"/>
  <c r="K53" i="31"/>
  <c r="M34" i="52"/>
  <c r="N31" i="52"/>
  <c r="D7" i="19" s="1"/>
  <c r="C10" i="19"/>
  <c r="C8" i="25" s="1"/>
  <c r="C10" i="25" s="1"/>
  <c r="G11" i="54"/>
  <c r="G14" i="54" s="1"/>
  <c r="C7" i="22"/>
  <c r="C9" i="22" s="1"/>
  <c r="M29" i="31"/>
  <c r="N22" i="52"/>
  <c r="N30" i="12"/>
  <c r="M15" i="15"/>
  <c r="N15" i="15" s="1"/>
  <c r="N11" i="15"/>
  <c r="M9" i="15"/>
  <c r="N7" i="15"/>
  <c r="J15" i="31"/>
  <c r="J19" i="31" s="1"/>
  <c r="J20" i="31" s="1"/>
  <c r="F12" i="5"/>
  <c r="C14" i="5"/>
  <c r="E13" i="5"/>
  <c r="C16" i="43" l="1"/>
  <c r="E15" i="43"/>
  <c r="F15" i="43" s="1"/>
  <c r="I20" i="31"/>
  <c r="G7" i="19"/>
  <c r="G10" i="19" s="1"/>
  <c r="G8" i="25" s="1"/>
  <c r="G10" i="25" s="1"/>
  <c r="B10" i="19"/>
  <c r="B8" i="25" s="1"/>
  <c r="B7" i="22"/>
  <c r="E11" i="54"/>
  <c r="E14" i="54" s="1"/>
  <c r="C5" i="55" s="1"/>
  <c r="B6" i="55" s="1"/>
  <c r="N7" i="31"/>
  <c r="N11" i="52"/>
  <c r="M80" i="31"/>
  <c r="N80" i="31" s="1"/>
  <c r="N122" i="47"/>
  <c r="E26" i="21" s="1"/>
  <c r="E14" i="22" s="1"/>
  <c r="E15" i="25" s="1"/>
  <c r="M36" i="31"/>
  <c r="N36" i="31" s="1"/>
  <c r="N60" i="47"/>
  <c r="C26" i="21" s="1"/>
  <c r="M57" i="31"/>
  <c r="N57" i="31" s="1"/>
  <c r="N87" i="47"/>
  <c r="D22" i="21" s="1"/>
  <c r="M100" i="31"/>
  <c r="N100" i="31" s="1"/>
  <c r="N144" i="47"/>
  <c r="F17" i="21" s="1"/>
  <c r="F12" i="22" s="1"/>
  <c r="F13" i="25" s="1"/>
  <c r="M79" i="31"/>
  <c r="N79" i="31" s="1"/>
  <c r="N118" i="47"/>
  <c r="E22" i="21" s="1"/>
  <c r="E13" i="22" s="1"/>
  <c r="E14" i="25" s="1"/>
  <c r="L123" i="47"/>
  <c r="M113" i="47"/>
  <c r="M123" i="47" s="1"/>
  <c r="N109" i="47"/>
  <c r="E13" i="21" s="1"/>
  <c r="M82" i="47"/>
  <c r="M92" i="47" s="1"/>
  <c r="N78" i="47"/>
  <c r="D13" i="21" s="1"/>
  <c r="M51" i="47"/>
  <c r="N47" i="47"/>
  <c r="C13" i="21" s="1"/>
  <c r="M154" i="47"/>
  <c r="N154" i="47" s="1"/>
  <c r="F27" i="21" s="1"/>
  <c r="M99" i="31"/>
  <c r="N138" i="47"/>
  <c r="F11" i="21" s="1"/>
  <c r="F11" i="22" s="1"/>
  <c r="M77" i="31"/>
  <c r="N77" i="31" s="1"/>
  <c r="N107" i="47"/>
  <c r="E11" i="21" s="1"/>
  <c r="E11" i="22" s="1"/>
  <c r="G5" i="21"/>
  <c r="M55" i="31"/>
  <c r="N55" i="31" s="1"/>
  <c r="N76" i="47"/>
  <c r="D11" i="21" s="1"/>
  <c r="D11" i="22" s="1"/>
  <c r="M33" i="31"/>
  <c r="M61" i="47"/>
  <c r="N61" i="47" s="1"/>
  <c r="C27" i="21" s="1"/>
  <c r="N45" i="47"/>
  <c r="C11" i="21" s="1"/>
  <c r="C11" i="22" s="1"/>
  <c r="O11" i="31"/>
  <c r="B15" i="25"/>
  <c r="B14" i="25"/>
  <c r="B12" i="22"/>
  <c r="B11" i="22"/>
  <c r="E15" i="54"/>
  <c r="E16" i="54" s="1"/>
  <c r="E9" i="48"/>
  <c r="M97" i="31"/>
  <c r="N95" i="31"/>
  <c r="M75" i="31"/>
  <c r="N73" i="31"/>
  <c r="M31" i="31"/>
  <c r="N29" i="31"/>
  <c r="G5" i="55"/>
  <c r="F5" i="55"/>
  <c r="I11" i="54"/>
  <c r="I14" i="54" s="1"/>
  <c r="D7" i="22"/>
  <c r="D9" i="22" s="1"/>
  <c r="D10" i="19"/>
  <c r="D8" i="25" s="1"/>
  <c r="D10" i="25" s="1"/>
  <c r="M51" i="31"/>
  <c r="N34" i="52"/>
  <c r="D5" i="55"/>
  <c r="M16" i="15"/>
  <c r="N9" i="15"/>
  <c r="K15" i="31"/>
  <c r="K19" i="31" s="1"/>
  <c r="K20" i="31" s="1"/>
  <c r="F13" i="5"/>
  <c r="C15" i="5"/>
  <c r="E14" i="5"/>
  <c r="C18" i="43" l="1"/>
  <c r="C17" i="43"/>
  <c r="E16" i="43"/>
  <c r="I21" i="31"/>
  <c r="J21" i="31" s="1"/>
  <c r="K21" i="31" s="1"/>
  <c r="N9" i="31"/>
  <c r="O9" i="31" s="1"/>
  <c r="O7" i="31"/>
  <c r="G7" i="22"/>
  <c r="F5" i="24" s="1"/>
  <c r="F7" i="24" s="1"/>
  <c r="F8" i="24" s="1"/>
  <c r="B9" i="22"/>
  <c r="G9" i="22" s="1"/>
  <c r="B14" i="57"/>
  <c r="B15" i="57" s="1"/>
  <c r="B16" i="57" s="1"/>
  <c r="E5" i="48"/>
  <c r="E13" i="48" s="1"/>
  <c r="E15" i="48" s="1"/>
  <c r="B10" i="25"/>
  <c r="E18" i="54"/>
  <c r="E19" i="54" s="1"/>
  <c r="E20" i="54" s="1"/>
  <c r="E21" i="54" s="1"/>
  <c r="C6" i="57" s="1"/>
  <c r="C10" i="57" s="1"/>
  <c r="C16" i="57" s="1"/>
  <c r="N99" i="31"/>
  <c r="N123" i="47"/>
  <c r="E27" i="21" s="1"/>
  <c r="C14" i="22"/>
  <c r="G26" i="21"/>
  <c r="D13" i="22"/>
  <c r="G22" i="21"/>
  <c r="M78" i="31"/>
  <c r="N113" i="47"/>
  <c r="E17" i="21" s="1"/>
  <c r="E12" i="22" s="1"/>
  <c r="E13" i="25" s="1"/>
  <c r="N92" i="47"/>
  <c r="D27" i="21" s="1"/>
  <c r="I15" i="54" s="1"/>
  <c r="I16" i="54" s="1"/>
  <c r="I18" i="54" s="1"/>
  <c r="I19" i="54" s="1"/>
  <c r="I20" i="54" s="1"/>
  <c r="I21" i="54" s="1"/>
  <c r="G6" i="57" s="1"/>
  <c r="G13" i="21"/>
  <c r="M56" i="31"/>
  <c r="N82" i="47"/>
  <c r="D17" i="21" s="1"/>
  <c r="D12" i="22" s="1"/>
  <c r="D13" i="25" s="1"/>
  <c r="M34" i="31"/>
  <c r="N34" i="31" s="1"/>
  <c r="N51" i="47"/>
  <c r="C17" i="21" s="1"/>
  <c r="L9" i="48"/>
  <c r="L15" i="54"/>
  <c r="L16" i="54" s="1"/>
  <c r="L18" i="54" s="1"/>
  <c r="L19" i="54" s="1"/>
  <c r="L20" i="54" s="1"/>
  <c r="L21" i="54" s="1"/>
  <c r="F15" i="22"/>
  <c r="F16" i="22" s="1"/>
  <c r="F12" i="25"/>
  <c r="E12" i="25"/>
  <c r="K9" i="48"/>
  <c r="K15" i="54"/>
  <c r="K16" i="54" s="1"/>
  <c r="K18" i="54" s="1"/>
  <c r="K19" i="54" s="1"/>
  <c r="K20" i="54" s="1"/>
  <c r="K21" i="54" s="1"/>
  <c r="D12" i="25"/>
  <c r="C12" i="25"/>
  <c r="G11" i="21"/>
  <c r="G9" i="48"/>
  <c r="G15" i="54"/>
  <c r="G16" i="54" s="1"/>
  <c r="G18" i="54" s="1"/>
  <c r="G19" i="54" s="1"/>
  <c r="G20" i="54" s="1"/>
  <c r="G21" i="54" s="1"/>
  <c r="E6" i="57" s="1"/>
  <c r="E10" i="57" s="1"/>
  <c r="E16" i="57" s="1"/>
  <c r="N33" i="31"/>
  <c r="B13" i="25"/>
  <c r="B12" i="25"/>
  <c r="B15" i="22"/>
  <c r="G11" i="22"/>
  <c r="E11" i="48"/>
  <c r="E17" i="48"/>
  <c r="F6" i="55"/>
  <c r="F14" i="57" s="1"/>
  <c r="N97" i="31"/>
  <c r="N75" i="31"/>
  <c r="N31" i="31"/>
  <c r="E5" i="55"/>
  <c r="E6" i="55" s="1"/>
  <c r="E14" i="57" s="1"/>
  <c r="M53" i="31"/>
  <c r="N51" i="31"/>
  <c r="C6" i="55"/>
  <c r="C14" i="57" s="1"/>
  <c r="M17" i="15"/>
  <c r="N17" i="15" s="1"/>
  <c r="N16" i="15"/>
  <c r="L15" i="31"/>
  <c r="L19" i="31" s="1"/>
  <c r="L20" i="31" s="1"/>
  <c r="F14" i="5"/>
  <c r="C16" i="5"/>
  <c r="E15" i="5"/>
  <c r="L21" i="31" l="1"/>
  <c r="C19" i="43"/>
  <c r="E18" i="43"/>
  <c r="F16" i="43"/>
  <c r="F17" i="43" s="1"/>
  <c r="E17" i="43"/>
  <c r="B16" i="22"/>
  <c r="B18" i="22" s="1"/>
  <c r="G7" i="55"/>
  <c r="G8" i="57" s="1"/>
  <c r="G10" i="57" s="1"/>
  <c r="G16" i="57" s="1"/>
  <c r="N78" i="31"/>
  <c r="D15" i="22"/>
  <c r="D16" i="22" s="1"/>
  <c r="N56" i="31"/>
  <c r="C15" i="25"/>
  <c r="G15" i="25" s="1"/>
  <c r="G14" i="22"/>
  <c r="D14" i="25"/>
  <c r="G14" i="25" s="1"/>
  <c r="G13" i="22"/>
  <c r="E15" i="22"/>
  <c r="E16" i="22" s="1"/>
  <c r="I9" i="48"/>
  <c r="I11" i="48" s="1"/>
  <c r="C12" i="22"/>
  <c r="G17" i="21"/>
  <c r="G27" i="21" s="1"/>
  <c r="L11" i="48"/>
  <c r="L17" i="48"/>
  <c r="K17" i="48"/>
  <c r="K11" i="48"/>
  <c r="G11" i="48"/>
  <c r="G17" i="48"/>
  <c r="E22" i="48"/>
  <c r="E24" i="48" s="1"/>
  <c r="E27" i="48"/>
  <c r="E29" i="48" s="1"/>
  <c r="E31" i="48" s="1"/>
  <c r="E33" i="48" s="1"/>
  <c r="E19" i="48"/>
  <c r="G12" i="25"/>
  <c r="D6" i="55"/>
  <c r="D14" i="57" s="1"/>
  <c r="N53" i="31"/>
  <c r="F15" i="5"/>
  <c r="M15" i="31"/>
  <c r="M19" i="31" s="1"/>
  <c r="M20" i="31" s="1"/>
  <c r="C17" i="5"/>
  <c r="C18" i="5"/>
  <c r="E16" i="5"/>
  <c r="E17" i="5" s="1"/>
  <c r="D6" i="4" s="1"/>
  <c r="F18" i="43" l="1"/>
  <c r="C20" i="43"/>
  <c r="E19" i="43"/>
  <c r="F19" i="43" s="1"/>
  <c r="E6" i="4"/>
  <c r="B16" i="25"/>
  <c r="M21" i="31"/>
  <c r="I17" i="48"/>
  <c r="I22" i="48" s="1"/>
  <c r="I24" i="48" s="1"/>
  <c r="C13" i="25"/>
  <c r="G13" i="25" s="1"/>
  <c r="G12" i="22"/>
  <c r="G15" i="22" s="1"/>
  <c r="G16" i="22" s="1"/>
  <c r="C15" i="22"/>
  <c r="C16" i="22" s="1"/>
  <c r="C18" i="22" s="1"/>
  <c r="D18" i="22" s="1"/>
  <c r="L19" i="48"/>
  <c r="L22" i="48"/>
  <c r="L24" i="48" s="1"/>
  <c r="L27" i="48"/>
  <c r="L29" i="48" s="1"/>
  <c r="L31" i="48" s="1"/>
  <c r="L33" i="48" s="1"/>
  <c r="K19" i="48"/>
  <c r="K27" i="48"/>
  <c r="K29" i="48" s="1"/>
  <c r="K31" i="48" s="1"/>
  <c r="K33" i="48" s="1"/>
  <c r="K22" i="48"/>
  <c r="K24" i="48" s="1"/>
  <c r="I19" i="48"/>
  <c r="I27" i="48"/>
  <c r="I29" i="48" s="1"/>
  <c r="I31" i="48" s="1"/>
  <c r="I33" i="48" s="1"/>
  <c r="G19" i="48"/>
  <c r="G27" i="48"/>
  <c r="G29" i="48" s="1"/>
  <c r="G31" i="48" s="1"/>
  <c r="G33" i="48" s="1"/>
  <c r="G22" i="48"/>
  <c r="G24" i="48" s="1"/>
  <c r="B7" i="4"/>
  <c r="C19" i="5"/>
  <c r="E18" i="5"/>
  <c r="N15" i="31"/>
  <c r="F16" i="5"/>
  <c r="F17" i="5" s="1"/>
  <c r="B20" i="25" l="1"/>
  <c r="B21" i="25" s="1"/>
  <c r="C21" i="43"/>
  <c r="E20" i="43"/>
  <c r="F20" i="43" s="1"/>
  <c r="O15" i="31"/>
  <c r="N19" i="31"/>
  <c r="F18" i="22"/>
  <c r="E18" i="22"/>
  <c r="B37" i="31"/>
  <c r="F18" i="5"/>
  <c r="C20" i="5"/>
  <c r="E19" i="5"/>
  <c r="B41" i="31" l="1"/>
  <c r="C22" i="43"/>
  <c r="E21" i="43"/>
  <c r="O19" i="31"/>
  <c r="N20" i="31"/>
  <c r="B22" i="25"/>
  <c r="D4" i="56"/>
  <c r="D5" i="56" s="1"/>
  <c r="C21" i="5"/>
  <c r="E20" i="5"/>
  <c r="C37" i="31"/>
  <c r="C41" i="31" s="1"/>
  <c r="C42" i="31" s="1"/>
  <c r="F19" i="5"/>
  <c r="C23" i="43" l="1"/>
  <c r="E22" i="43"/>
  <c r="F22" i="43" s="1"/>
  <c r="N21" i="31"/>
  <c r="O20" i="31"/>
  <c r="B42" i="31"/>
  <c r="F21" i="43"/>
  <c r="F20" i="5"/>
  <c r="D37" i="31"/>
  <c r="D41" i="31" s="1"/>
  <c r="D42" i="31" s="1"/>
  <c r="C22" i="5"/>
  <c r="E21" i="5"/>
  <c r="B43" i="31" l="1"/>
  <c r="C43" i="31" s="1"/>
  <c r="D43" i="31"/>
  <c r="C24" i="43"/>
  <c r="E23" i="43"/>
  <c r="F23" i="43" s="1"/>
  <c r="F21" i="5"/>
  <c r="E37" i="31"/>
  <c r="E41" i="31" s="1"/>
  <c r="E42" i="31" s="1"/>
  <c r="C23" i="5"/>
  <c r="E22" i="5"/>
  <c r="E43" i="31" l="1"/>
  <c r="C25" i="43"/>
  <c r="E24" i="43"/>
  <c r="F24" i="43" s="1"/>
  <c r="F37" i="31"/>
  <c r="F22" i="5"/>
  <c r="E23" i="5"/>
  <c r="C24" i="5"/>
  <c r="C26" i="43" l="1"/>
  <c r="E25" i="43"/>
  <c r="F25" i="43" s="1"/>
  <c r="F41" i="31"/>
  <c r="G37" i="31"/>
  <c r="G41" i="31" s="1"/>
  <c r="G42" i="31" s="1"/>
  <c r="F23" i="5"/>
  <c r="C25" i="5"/>
  <c r="E24" i="5"/>
  <c r="F42" i="31" l="1"/>
  <c r="C27" i="43"/>
  <c r="E26" i="43"/>
  <c r="F26" i="43" s="1"/>
  <c r="C26" i="5"/>
  <c r="E25" i="5"/>
  <c r="F24" i="5"/>
  <c r="H37" i="31"/>
  <c r="H41" i="31" l="1"/>
  <c r="C28" i="43"/>
  <c r="E27" i="43"/>
  <c r="F27" i="43" s="1"/>
  <c r="F43" i="31"/>
  <c r="G43" i="31" s="1"/>
  <c r="I37" i="31"/>
  <c r="I41" i="31" s="1"/>
  <c r="I42" i="31" s="1"/>
  <c r="F25" i="5"/>
  <c r="C27" i="5"/>
  <c r="E26" i="5"/>
  <c r="C29" i="43" l="1"/>
  <c r="E28" i="43"/>
  <c r="F28" i="43" s="1"/>
  <c r="H42" i="31"/>
  <c r="H43" i="31" s="1"/>
  <c r="I43" i="31" s="1"/>
  <c r="E27" i="5"/>
  <c r="C28" i="5"/>
  <c r="J37" i="31"/>
  <c r="J41" i="31" s="1"/>
  <c r="J42" i="31" s="1"/>
  <c r="F26" i="5"/>
  <c r="J43" i="31" l="1"/>
  <c r="C30" i="43"/>
  <c r="C31" i="43"/>
  <c r="E29" i="43"/>
  <c r="C29" i="5"/>
  <c r="E28" i="5"/>
  <c r="K37" i="31"/>
  <c r="K41" i="31" s="1"/>
  <c r="K42" i="31" s="1"/>
  <c r="K43" i="31" s="1"/>
  <c r="F27" i="5"/>
  <c r="F29" i="43" l="1"/>
  <c r="E30" i="43"/>
  <c r="F30" i="43" s="1"/>
  <c r="C32" i="43"/>
  <c r="E31" i="43"/>
  <c r="F28" i="5"/>
  <c r="L37" i="31"/>
  <c r="L41" i="31" s="1"/>
  <c r="C30" i="5"/>
  <c r="C31" i="5"/>
  <c r="E29" i="5"/>
  <c r="E30" i="5" s="1"/>
  <c r="C33" i="43" l="1"/>
  <c r="E32" i="43"/>
  <c r="F32" i="43" s="1"/>
  <c r="D7" i="4"/>
  <c r="F30" i="5"/>
  <c r="L42" i="31"/>
  <c r="L43" i="31" s="1"/>
  <c r="F31" i="43"/>
  <c r="B8" i="4"/>
  <c r="C32" i="5"/>
  <c r="E31" i="5"/>
  <c r="F29" i="5"/>
  <c r="M37" i="31"/>
  <c r="E7" i="4" l="1"/>
  <c r="C16" i="25"/>
  <c r="M41" i="31"/>
  <c r="N37" i="31"/>
  <c r="C34" i="43"/>
  <c r="E33" i="43"/>
  <c r="B59" i="31"/>
  <c r="F31" i="5"/>
  <c r="C33" i="5"/>
  <c r="E32" i="5"/>
  <c r="C35" i="43" l="1"/>
  <c r="E34" i="43"/>
  <c r="F34" i="43" s="1"/>
  <c r="M42" i="31"/>
  <c r="N41" i="31"/>
  <c r="F33" i="43"/>
  <c r="C20" i="25"/>
  <c r="C21" i="25" s="1"/>
  <c r="B63" i="31"/>
  <c r="C34" i="5"/>
  <c r="E33" i="5"/>
  <c r="F32" i="5"/>
  <c r="C59" i="31"/>
  <c r="C63" i="31" s="1"/>
  <c r="C64" i="31" s="1"/>
  <c r="B64" i="31" l="1"/>
  <c r="E4" i="56"/>
  <c r="E5" i="56" s="1"/>
  <c r="C22" i="25"/>
  <c r="N42" i="31"/>
  <c r="M43" i="31"/>
  <c r="B65" i="31" s="1"/>
  <c r="C65" i="31" s="1"/>
  <c r="C36" i="43"/>
  <c r="E35" i="43"/>
  <c r="F33" i="5"/>
  <c r="D59" i="31"/>
  <c r="C35" i="5"/>
  <c r="E34" i="5"/>
  <c r="C37" i="43" l="1"/>
  <c r="E36" i="43"/>
  <c r="F36" i="43" s="1"/>
  <c r="D63" i="31"/>
  <c r="F35" i="43"/>
  <c r="F34" i="5"/>
  <c r="E59" i="31"/>
  <c r="E63" i="31" s="1"/>
  <c r="E64" i="31" s="1"/>
  <c r="C36" i="5"/>
  <c r="E35" i="5"/>
  <c r="C38" i="43" l="1"/>
  <c r="E37" i="43"/>
  <c r="F37" i="43" s="1"/>
  <c r="D64" i="31"/>
  <c r="F59" i="31"/>
  <c r="F63" i="31" s="1"/>
  <c r="F64" i="31" s="1"/>
  <c r="F35" i="5"/>
  <c r="C37" i="5"/>
  <c r="E36" i="5"/>
  <c r="C39" i="43" l="1"/>
  <c r="E38" i="43"/>
  <c r="D65" i="31"/>
  <c r="E65" i="31" s="1"/>
  <c r="F65" i="31" s="1"/>
  <c r="C38" i="5"/>
  <c r="E37" i="5"/>
  <c r="G59" i="31"/>
  <c r="G63" i="31" s="1"/>
  <c r="G64" i="31" s="1"/>
  <c r="F36" i="5"/>
  <c r="F38" i="43" l="1"/>
  <c r="C40" i="43"/>
  <c r="E39" i="43"/>
  <c r="F39" i="43" s="1"/>
  <c r="G65" i="31"/>
  <c r="H59" i="31"/>
  <c r="H63" i="31" s="1"/>
  <c r="H64" i="31" s="1"/>
  <c r="F37" i="5"/>
  <c r="C39" i="5"/>
  <c r="E38" i="5"/>
  <c r="H65" i="31" l="1"/>
  <c r="C41" i="43"/>
  <c r="E40" i="43"/>
  <c r="F40" i="43" s="1"/>
  <c r="I59" i="31"/>
  <c r="F38" i="5"/>
  <c r="C40" i="5"/>
  <c r="E39" i="5"/>
  <c r="C42" i="43" l="1"/>
  <c r="E41" i="43"/>
  <c r="F41" i="43" s="1"/>
  <c r="I63" i="31"/>
  <c r="J59" i="31"/>
  <c r="J63" i="31" s="1"/>
  <c r="J64" i="31" s="1"/>
  <c r="F39" i="5"/>
  <c r="C41" i="5"/>
  <c r="E40" i="5"/>
  <c r="I64" i="31" l="1"/>
  <c r="I65" i="31" s="1"/>
  <c r="J65" i="31" s="1"/>
  <c r="C44" i="43"/>
  <c r="C43" i="43"/>
  <c r="E42" i="43"/>
  <c r="F40" i="5"/>
  <c r="K59" i="31"/>
  <c r="K63" i="31" s="1"/>
  <c r="K64" i="31" s="1"/>
  <c r="C42" i="5"/>
  <c r="E41" i="5"/>
  <c r="C45" i="43" l="1"/>
  <c r="E44" i="43"/>
  <c r="F42" i="43"/>
  <c r="E43" i="43"/>
  <c r="F43" i="43" s="1"/>
  <c r="K65" i="31"/>
  <c r="C44" i="5"/>
  <c r="C43" i="5"/>
  <c r="E42" i="5"/>
  <c r="E43" i="5" s="1"/>
  <c r="L59" i="31"/>
  <c r="L63" i="31" s="1"/>
  <c r="L64" i="31" s="1"/>
  <c r="F41" i="5"/>
  <c r="D8" i="4" l="1"/>
  <c r="F43" i="5"/>
  <c r="F44" i="43"/>
  <c r="L65" i="31"/>
  <c r="C46" i="43"/>
  <c r="E45" i="43"/>
  <c r="F45" i="43" s="1"/>
  <c r="M59" i="31"/>
  <c r="F42" i="5"/>
  <c r="B9" i="4"/>
  <c r="C45" i="5"/>
  <c r="E44" i="5"/>
  <c r="M63" i="31" l="1"/>
  <c r="N59" i="31"/>
  <c r="C47" i="43"/>
  <c r="E46" i="43"/>
  <c r="E8" i="4"/>
  <c r="D16" i="25"/>
  <c r="B81" i="31"/>
  <c r="F44" i="5"/>
  <c r="C46" i="5"/>
  <c r="E45" i="5"/>
  <c r="D20" i="25" l="1"/>
  <c r="D21" i="25" s="1"/>
  <c r="F46" i="43"/>
  <c r="C48" i="43"/>
  <c r="E47" i="43"/>
  <c r="F47" i="43" s="1"/>
  <c r="B85" i="31"/>
  <c r="M64" i="31"/>
  <c r="N63" i="31"/>
  <c r="C47" i="5"/>
  <c r="E46" i="5"/>
  <c r="F45" i="5"/>
  <c r="C81" i="31"/>
  <c r="C85" i="31" s="1"/>
  <c r="C86" i="31" s="1"/>
  <c r="N64" i="31" l="1"/>
  <c r="M65" i="31"/>
  <c r="C49" i="43"/>
  <c r="E48" i="43"/>
  <c r="F48" i="43" s="1"/>
  <c r="B86" i="31"/>
  <c r="D22" i="25"/>
  <c r="F4" i="56"/>
  <c r="F5" i="56" s="1"/>
  <c r="D81" i="31"/>
  <c r="D85" i="31" s="1"/>
  <c r="D86" i="31" s="1"/>
  <c r="F46" i="5"/>
  <c r="C48" i="5"/>
  <c r="E47" i="5"/>
  <c r="B87" i="31" l="1"/>
  <c r="C87" i="31" s="1"/>
  <c r="D87" i="31" s="1"/>
  <c r="C50" i="43"/>
  <c r="E49" i="43"/>
  <c r="E81" i="31"/>
  <c r="F47" i="5"/>
  <c r="C49" i="5"/>
  <c r="E48" i="5"/>
  <c r="C51" i="43" l="1"/>
  <c r="E50" i="43"/>
  <c r="F50" i="43" s="1"/>
  <c r="E85" i="31"/>
  <c r="F49" i="43"/>
  <c r="F48" i="5"/>
  <c r="F81" i="31"/>
  <c r="F85" i="31" s="1"/>
  <c r="F86" i="31" s="1"/>
  <c r="C50" i="5"/>
  <c r="E49" i="5"/>
  <c r="E86" i="31" l="1"/>
  <c r="C52" i="43"/>
  <c r="E51" i="43"/>
  <c r="C51" i="5"/>
  <c r="E50" i="5"/>
  <c r="G81" i="31"/>
  <c r="G85" i="31" s="1"/>
  <c r="G86" i="31" s="1"/>
  <c r="F49" i="5"/>
  <c r="C53" i="43" l="1"/>
  <c r="E52" i="43"/>
  <c r="F52" i="43" s="1"/>
  <c r="F51" i="43"/>
  <c r="E87" i="31"/>
  <c r="F87" i="31" s="1"/>
  <c r="G87" i="31" s="1"/>
  <c r="H81" i="31"/>
  <c r="H85" i="31" s="1"/>
  <c r="H86" i="31" s="1"/>
  <c r="F50" i="5"/>
  <c r="C52" i="5"/>
  <c r="E51" i="5"/>
  <c r="H87" i="31" l="1"/>
  <c r="C54" i="43"/>
  <c r="E53" i="43"/>
  <c r="F53" i="43" s="1"/>
  <c r="C53" i="5"/>
  <c r="E52" i="5"/>
  <c r="F51" i="5"/>
  <c r="I81" i="31"/>
  <c r="I85" i="31" l="1"/>
  <c r="C55" i="43"/>
  <c r="E54" i="43"/>
  <c r="F54" i="43" s="1"/>
  <c r="J81" i="31"/>
  <c r="J85" i="31" s="1"/>
  <c r="J86" i="31" s="1"/>
  <c r="F52" i="5"/>
  <c r="C54" i="5"/>
  <c r="E53" i="5"/>
  <c r="C56" i="43" l="1"/>
  <c r="C57" i="43"/>
  <c r="E55" i="43"/>
  <c r="I86" i="31"/>
  <c r="F53" i="5"/>
  <c r="K81" i="31"/>
  <c r="K85" i="31" s="1"/>
  <c r="K86" i="31" s="1"/>
  <c r="C55" i="5"/>
  <c r="E54" i="5"/>
  <c r="F55" i="43" l="1"/>
  <c r="E56" i="43"/>
  <c r="F56" i="43" s="1"/>
  <c r="C58" i="43"/>
  <c r="E57" i="43"/>
  <c r="I87" i="31"/>
  <c r="J87" i="31" s="1"/>
  <c r="K87" i="31" s="1"/>
  <c r="L81" i="31"/>
  <c r="L85" i="31" s="1"/>
  <c r="L86" i="31" s="1"/>
  <c r="F54" i="5"/>
  <c r="C56" i="5"/>
  <c r="C57" i="5"/>
  <c r="E55" i="5"/>
  <c r="E56" i="5" s="1"/>
  <c r="D9" i="4" l="1"/>
  <c r="F56" i="5"/>
  <c r="F57" i="43"/>
  <c r="L87" i="31"/>
  <c r="C59" i="43"/>
  <c r="E58" i="43"/>
  <c r="F58" i="43" s="1"/>
  <c r="B10" i="4"/>
  <c r="C58" i="5"/>
  <c r="E57" i="5"/>
  <c r="M81" i="31"/>
  <c r="F55" i="5"/>
  <c r="C60" i="43" l="1"/>
  <c r="E59" i="43"/>
  <c r="M85" i="31"/>
  <c r="N81" i="31"/>
  <c r="E16" i="25"/>
  <c r="E9" i="4"/>
  <c r="B103" i="31"/>
  <c r="F57" i="5"/>
  <c r="C59" i="5"/>
  <c r="E58" i="5"/>
  <c r="M86" i="31" l="1"/>
  <c r="N85" i="31"/>
  <c r="B107" i="31"/>
  <c r="E20" i="25"/>
  <c r="E21" i="25" s="1"/>
  <c r="F59" i="43"/>
  <c r="C61" i="43"/>
  <c r="E60" i="43"/>
  <c r="F60" i="43" s="1"/>
  <c r="E59" i="5"/>
  <c r="C60" i="5"/>
  <c r="C103" i="31"/>
  <c r="C107" i="31" s="1"/>
  <c r="C108" i="31" s="1"/>
  <c r="F58" i="5"/>
  <c r="C62" i="43" l="1"/>
  <c r="E61" i="43"/>
  <c r="F61" i="43" s="1"/>
  <c r="E22" i="25"/>
  <c r="G4" i="56"/>
  <c r="N86" i="31"/>
  <c r="M87" i="31"/>
  <c r="B108" i="31"/>
  <c r="C61" i="5"/>
  <c r="E60" i="5"/>
  <c r="D103" i="31"/>
  <c r="F59" i="5"/>
  <c r="B109" i="31" l="1"/>
  <c r="C109" i="31" s="1"/>
  <c r="C63" i="43"/>
  <c r="E62" i="43"/>
  <c r="D107" i="31"/>
  <c r="G5" i="56"/>
  <c r="D11" i="56"/>
  <c r="D12" i="56" s="1"/>
  <c r="D13" i="56" s="1"/>
  <c r="E103" i="31"/>
  <c r="E107" i="31" s="1"/>
  <c r="E108" i="31" s="1"/>
  <c r="F60" i="5"/>
  <c r="C62" i="5"/>
  <c r="E61" i="5"/>
  <c r="C64" i="43" l="1"/>
  <c r="E63" i="43"/>
  <c r="F63" i="43" s="1"/>
  <c r="D108" i="31"/>
  <c r="F62" i="43"/>
  <c r="F103" i="31"/>
  <c r="F107" i="31" s="1"/>
  <c r="F108" i="31" s="1"/>
  <c r="F61" i="5"/>
  <c r="C63" i="5"/>
  <c r="E62" i="5"/>
  <c r="D109" i="31" l="1"/>
  <c r="E109" i="31" s="1"/>
  <c r="F109" i="31" s="1"/>
  <c r="C65" i="43"/>
  <c r="E64" i="43"/>
  <c r="F64" i="43" s="1"/>
  <c r="F62" i="5"/>
  <c r="G103" i="31"/>
  <c r="G107" i="31" s="1"/>
  <c r="G108" i="31" s="1"/>
  <c r="C64" i="5"/>
  <c r="E63" i="5"/>
  <c r="C66" i="43" l="1"/>
  <c r="E65" i="43"/>
  <c r="F65" i="43" s="1"/>
  <c r="G109" i="31"/>
  <c r="C65" i="5"/>
  <c r="E64" i="5"/>
  <c r="H103" i="31"/>
  <c r="H107" i="31" s="1"/>
  <c r="H108" i="31" s="1"/>
  <c r="F63" i="5"/>
  <c r="H109" i="31" l="1"/>
  <c r="C67" i="43"/>
  <c r="E66" i="43"/>
  <c r="F66" i="43" s="1"/>
  <c r="I103" i="31"/>
  <c r="F64" i="5"/>
  <c r="E65" i="5"/>
  <c r="C66" i="5"/>
  <c r="C68" i="43" l="1"/>
  <c r="E67" i="43"/>
  <c r="F67" i="43" s="1"/>
  <c r="I107" i="31"/>
  <c r="C67" i="5"/>
  <c r="E66" i="5"/>
  <c r="J103" i="31"/>
  <c r="J107" i="31" s="1"/>
  <c r="J108" i="31" s="1"/>
  <c r="F65" i="5"/>
  <c r="I108" i="31" l="1"/>
  <c r="I109" i="31" s="1"/>
  <c r="J109" i="31" s="1"/>
  <c r="C69" i="43"/>
  <c r="E68" i="43"/>
  <c r="K103" i="31"/>
  <c r="K107" i="31" s="1"/>
  <c r="K108" i="31" s="1"/>
  <c r="F66" i="5"/>
  <c r="C68" i="5"/>
  <c r="E67" i="5"/>
  <c r="F68" i="43" l="1"/>
  <c r="E69" i="43"/>
  <c r="K109" i="31"/>
  <c r="L103" i="31"/>
  <c r="L107" i="31" s="1"/>
  <c r="L108" i="31" s="1"/>
  <c r="F67" i="5"/>
  <c r="C69" i="5"/>
  <c r="E68" i="5"/>
  <c r="E69" i="5" s="1"/>
  <c r="F69" i="5" l="1"/>
  <c r="D10" i="4"/>
  <c r="E70" i="5"/>
  <c r="F70" i="5" s="1"/>
  <c r="L109" i="31"/>
  <c r="E70" i="43"/>
  <c r="F70" i="43" s="1"/>
  <c r="F69" i="43"/>
  <c r="M103" i="31"/>
  <c r="F68" i="5"/>
  <c r="M107" i="31" l="1"/>
  <c r="N103" i="31"/>
  <c r="D11" i="4"/>
  <c r="E10" i="4"/>
  <c r="E11" i="4" s="1"/>
  <c r="F9" i="24" s="1"/>
  <c r="F16" i="25"/>
  <c r="F20" i="25" l="1"/>
  <c r="F21" i="25" s="1"/>
  <c r="G16" i="25"/>
  <c r="G20" i="25" s="1"/>
  <c r="G21" i="25" s="1"/>
  <c r="M108" i="31"/>
  <c r="N107" i="31"/>
  <c r="N108" i="31" l="1"/>
  <c r="M109" i="31"/>
  <c r="H4" i="56"/>
  <c r="F22" i="25"/>
  <c r="H5" i="56" l="1"/>
  <c r="D15" i="56"/>
  <c r="D9" i="56"/>
  <c r="D17" i="56"/>
</calcChain>
</file>

<file path=xl/comments1.xml><?xml version="1.0" encoding="utf-8"?>
<comments xmlns="http://schemas.openxmlformats.org/spreadsheetml/2006/main">
  <authors>
    <author>kader abdoulaye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Modifer le taux d'actualisation</t>
        </r>
      </text>
    </comment>
  </commentList>
</comments>
</file>

<file path=xl/sharedStrings.xml><?xml version="1.0" encoding="utf-8"?>
<sst xmlns="http://schemas.openxmlformats.org/spreadsheetml/2006/main" count="996" uniqueCount="448">
  <si>
    <t xml:space="preserve">LOGICIEL AUTOMATISE DE </t>
  </si>
  <si>
    <t>(CONCOUR BANCAIRE)</t>
  </si>
  <si>
    <t>GUIDE D'UTILISATION</t>
  </si>
  <si>
    <t>1- RENSEIGNER SOIGNESEMENT LA BASE D'INFORMATION</t>
  </si>
  <si>
    <t>BASE D'INFORMATION</t>
  </si>
  <si>
    <t>NOM DE L'ENTREPRISE</t>
  </si>
  <si>
    <t>CONTACT</t>
  </si>
  <si>
    <t>ADDRESSE</t>
  </si>
  <si>
    <t>N°DE COMPTE BANCAIRE</t>
  </si>
  <si>
    <t>MONTANT  DE L'EMPRUNT :</t>
  </si>
  <si>
    <t>TAUX D'INTERET (annuel) :</t>
  </si>
  <si>
    <t>DUREE (mois) :</t>
  </si>
  <si>
    <t>ANNEES à renseigner</t>
  </si>
  <si>
    <t>N+1</t>
  </si>
  <si>
    <t>N+2</t>
  </si>
  <si>
    <t>N+3</t>
  </si>
  <si>
    <t>N+4</t>
  </si>
  <si>
    <t>1-TABLEAU D'AMORTISSEMENT ANNUEL DE L'EMPRUNT</t>
  </si>
  <si>
    <t xml:space="preserve">Taux d'intérèt(an) : </t>
  </si>
  <si>
    <t>ANNEES</t>
  </si>
  <si>
    <t>Emprunt en debut de période</t>
  </si>
  <si>
    <t>Amortissement</t>
  </si>
  <si>
    <t>Intérèt</t>
  </si>
  <si>
    <t>ANNUITE</t>
  </si>
  <si>
    <t>TOTAL</t>
  </si>
  <si>
    <t>TABLEAU D'AMORTISSEMENT DE L'EMPRUNT</t>
  </si>
  <si>
    <t>Periode en mois :</t>
  </si>
  <si>
    <t xml:space="preserve">Taux d'intérèt :      </t>
  </si>
  <si>
    <t>Année</t>
  </si>
  <si>
    <t>Mois</t>
  </si>
  <si>
    <t>Emprunt en debut période</t>
  </si>
  <si>
    <t>Mensualité</t>
  </si>
  <si>
    <t>-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</si>
  <si>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</si>
  <si>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</si>
  <si>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</si>
  <si>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</si>
  <si>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</si>
  <si>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</si>
  <si>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</si>
  <si>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</si>
  <si>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</si>
  <si>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</si>
  <si>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</si>
  <si>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</si>
  <si>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</si>
  <si>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 xml:space="preserve">                                   DOSSIER DE CONCOURS BANCAIRE</t>
  </si>
  <si>
    <t xml:space="preserve"> </t>
  </si>
  <si>
    <t>SOMMAIRE</t>
  </si>
  <si>
    <t xml:space="preserve">     Demande de prêt</t>
  </si>
  <si>
    <t>I-PRESENTATION</t>
  </si>
  <si>
    <t xml:space="preserve">        1-Présentation du Promoteur</t>
  </si>
  <si>
    <t xml:space="preserve">        2-Présentation de l’entreprise</t>
  </si>
  <si>
    <t xml:space="preserve">        1-Chiffre d’affaire</t>
  </si>
  <si>
    <t xml:space="preserve">        2-Charges d’exploitation</t>
  </si>
  <si>
    <t xml:space="preserve">        3-Compte d’exploitation</t>
  </si>
  <si>
    <t xml:space="preserve">         1-Chiffre d’affaire</t>
  </si>
  <si>
    <t xml:space="preserve">         1-Tableau d’amortissement</t>
  </si>
  <si>
    <t xml:space="preserve">         2-Plan de trésorerie</t>
  </si>
  <si>
    <t>V-GARANTIE</t>
  </si>
  <si>
    <t xml:space="preserve">         1- BIENS actif à préciser</t>
  </si>
  <si>
    <t xml:space="preserve">         2-BIENS actif en image ou autre à préciser</t>
  </si>
  <si>
    <t>VI- ETATS ANNEXES</t>
  </si>
  <si>
    <t xml:space="preserve">          1-Factures pro-forma</t>
  </si>
  <si>
    <t xml:space="preserve">          2-Nos références</t>
  </si>
  <si>
    <t xml:space="preserve">          5-Dossier administratif</t>
  </si>
  <si>
    <t>N°COMPTE BANCAIRE</t>
  </si>
  <si>
    <t>Nous venons par la présente solliciter auprès de votre haute bienveillance</t>
  </si>
  <si>
    <t>Vous remerciant de l’attention accordée à notre demande,</t>
  </si>
  <si>
    <t xml:space="preserve"> veuillez agréer Monsieur le Directeur, </t>
  </si>
  <si>
    <t>l’expression de nos sincères salutations.</t>
  </si>
  <si>
    <t xml:space="preserve">                                                                                                      </t>
  </si>
  <si>
    <t>PRESENTATION</t>
  </si>
  <si>
    <t xml:space="preserve">                                                 Présentation du promoteur</t>
  </si>
  <si>
    <r>
      <t xml:space="preserve">       </t>
    </r>
    <r>
      <rPr>
        <b/>
        <u/>
        <sz val="18"/>
        <color rgb="FF000000"/>
        <rFont val="Calibri"/>
        <family val="2"/>
      </rPr>
      <t>IDENTITE DU PROMOTEUR (GERANT ou PDG)</t>
    </r>
  </si>
  <si>
    <r>
      <t xml:space="preserve">        </t>
    </r>
    <r>
      <rPr>
        <b/>
        <u/>
        <sz val="18"/>
        <color rgb="FF000000"/>
        <rFont val="Calibri"/>
        <family val="2"/>
      </rPr>
      <t>SITUATION MATRIMONIALE</t>
    </r>
  </si>
  <si>
    <t xml:space="preserve">               </t>
  </si>
  <si>
    <t>CAPITAL                                                      : ………..</t>
  </si>
  <si>
    <t xml:space="preserve">                                                                                                                                                                   </t>
  </si>
  <si>
    <t>NOS PRESTATIONS ET SERVICES</t>
  </si>
  <si>
    <t>NOTRE EQUIPE,NOTRE FORCE</t>
  </si>
  <si>
    <t xml:space="preserve">Afin d’offrir des prestations de qualités, (NOM DE L’ENTREPRISE), </t>
  </si>
  <si>
    <t>s’est dotée d’une administration dynamique.</t>
  </si>
  <si>
    <t xml:space="preserve"> matérielle et professionnelle de l’entreprise. Il procure des marchés,</t>
  </si>
  <si>
    <t xml:space="preserve"> la clientèle et veille à la bonne gestion des intérêts financiers.</t>
  </si>
  <si>
    <t>est chargée de l’accueil et de la facturation.</t>
  </si>
  <si>
    <t xml:space="preserve">    développe le système de gestion financier le plus performant</t>
  </si>
  <si>
    <t xml:space="preserve"> pour l’entreprise, a en charge l’approvisionnement et la gestion de stock.</t>
  </si>
  <si>
    <t xml:space="preserve">et de la recherche de client selon les objectifs établis par le manager général </t>
  </si>
  <si>
    <t xml:space="preserve">les équipes techniques (chefs d’équipes et Technicien de maintenance </t>
  </si>
  <si>
    <t>DESCRIPTION DE L’ACTIVITE</t>
  </si>
  <si>
    <t>A ce niveau, nous fournissons des produit industriels pour les entreprises.</t>
  </si>
  <si>
    <t xml:space="preserve">En effet, nous avons à notre actifs plusieurs client fidèles qui commandent </t>
  </si>
  <si>
    <t>régulièrement des pièces et appareils avec nous ,puisse que les usines</t>
  </si>
  <si>
    <t xml:space="preserve"> tournent en majorité tous les jours 24H /24.</t>
  </si>
  <si>
    <t>A ce niveau, nous avons exécuté a bien plusieurs chantiers ,</t>
  </si>
  <si>
    <t>ce qui ont donné de la satisfaction à nos client qui n’hésitent</t>
  </si>
  <si>
    <t xml:space="preserve"> plus à nous contacté quand besoin y ait. </t>
  </si>
  <si>
    <t>(NOM DE L’ENTREPRISE), s’est engagé à mettre des ouvriers et</t>
  </si>
  <si>
    <t xml:space="preserve"> des techniciens à la disposition des entreprises.</t>
  </si>
  <si>
    <t xml:space="preserve">Ainsi,nous avons (NOMBRE ….) ouvriers et (….NOMBRE) techniciens </t>
  </si>
  <si>
    <t>qui sont sollicités par nos clients pour la réalisation de leur projet.</t>
  </si>
  <si>
    <t xml:space="preserve">(EXPLIQUER  dans cette page pourquoi votre entreprise à eu un résultat négatif </t>
  </si>
  <si>
    <t>dans ses etats financiers seulement si vous en avez )</t>
  </si>
  <si>
    <t>NOS ENGAGEMENTS</t>
  </si>
  <si>
    <t xml:space="preserve">En vue de fournir des prestations de qualité, </t>
  </si>
  <si>
    <t>(NOM DE L'ENTREPRISE) s’engage à :</t>
  </si>
  <si>
    <t>NOS CONTACTS</t>
  </si>
  <si>
    <t>Administration</t>
  </si>
  <si>
    <r>
      <t>ADR</t>
    </r>
    <r>
      <rPr>
        <sz val="18"/>
        <color rgb="FF000000"/>
        <rFont val="Calibri"/>
        <family val="2"/>
      </rPr>
      <t>ESSE                          : ………</t>
    </r>
  </si>
  <si>
    <t>TELEPHONE                     :…….</t>
  </si>
  <si>
    <t>SITE INTERNET                : …….</t>
  </si>
  <si>
    <t>E-EMAIL                           :…………..</t>
  </si>
  <si>
    <t>LISTE ET DELAI DE REGLEMENT DE NOS PRINCIPAUX CLIENTS</t>
  </si>
  <si>
    <t>Tous les règlements des principaux clients se font par chèque ou virement ou espèce.</t>
  </si>
  <si>
    <t>1-……………………………………….</t>
  </si>
  <si>
    <t>Délai de règlement : ……………………………..</t>
  </si>
  <si>
    <t>2-………………………………………</t>
  </si>
  <si>
    <t>Délai de règlement : ………………………………….</t>
  </si>
  <si>
    <t>3-………………………………………….</t>
  </si>
  <si>
    <t>Délai de règlement :……………..</t>
  </si>
  <si>
    <t>4-………………………………….</t>
  </si>
  <si>
    <t>Délai de règlement : …………………………..</t>
  </si>
  <si>
    <t xml:space="preserve">5-………………………………… </t>
  </si>
  <si>
    <t>Délai de règlement : ……………..</t>
  </si>
  <si>
    <t>6-………………………..</t>
  </si>
  <si>
    <t>Délai de règlement : ……………………</t>
  </si>
  <si>
    <t>7-……………………………….</t>
  </si>
  <si>
    <t>8-…………………..</t>
  </si>
  <si>
    <t>Délai de règlement :…………………</t>
  </si>
  <si>
    <t>9-………………………….</t>
  </si>
  <si>
    <t>Délai de règlement : ……………………..</t>
  </si>
  <si>
    <t>10-…………………………</t>
  </si>
  <si>
    <t>Délai de règlement : ……………………………</t>
  </si>
  <si>
    <t>11-…………………………………………………..</t>
  </si>
  <si>
    <t>Délai de règlement :……………………………….</t>
  </si>
  <si>
    <t>12--…………………………………………………..</t>
  </si>
  <si>
    <t>13-………………………………………………………</t>
  </si>
  <si>
    <t>Délai de règlement : ……………………………………</t>
  </si>
  <si>
    <t>LA LISTE DE QUELQUE FOURNISSEURS DE NOTRE ENTREPRISE ,</t>
  </si>
  <si>
    <t>LEURS PAYS ET LE DELAI DE LIVRAISON EN COTE D’IVOIRE ou AU MAGASIN.</t>
  </si>
  <si>
    <t>1-………………….</t>
  </si>
  <si>
    <t>Pays : ………………</t>
  </si>
  <si>
    <t>Délai de livraison:………………</t>
  </si>
  <si>
    <t>2-……………………</t>
  </si>
  <si>
    <t>Pays : ……………………..</t>
  </si>
  <si>
    <t>Délai de livraison :………………</t>
  </si>
  <si>
    <t>3-……………………</t>
  </si>
  <si>
    <t>Pays:………………………</t>
  </si>
  <si>
    <t>Délai de livraison : ………………..</t>
  </si>
  <si>
    <t>4-…………………….</t>
  </si>
  <si>
    <t>Pays :………………..</t>
  </si>
  <si>
    <t>Délai de livraison :………………….</t>
  </si>
  <si>
    <t>5-……….</t>
  </si>
  <si>
    <t>Pays : COTE D’IVOIRE</t>
  </si>
  <si>
    <t>Délai de livraison :………….</t>
  </si>
  <si>
    <t xml:space="preserve">EXPLOITATION </t>
  </si>
  <si>
    <t xml:space="preserve">CHIFFRE D'AFFAIRE </t>
  </si>
  <si>
    <t>1-CHIFFRE D'AFFAIRE</t>
  </si>
  <si>
    <t>Periode :</t>
  </si>
  <si>
    <t>LIBELLE</t>
  </si>
  <si>
    <t>JANVIER</t>
  </si>
  <si>
    <t>FEVRIER</t>
  </si>
  <si>
    <t>MARS</t>
  </si>
  <si>
    <t xml:space="preserve">AVRIL </t>
  </si>
  <si>
    <t>MAI</t>
  </si>
  <si>
    <t>JUIN</t>
  </si>
  <si>
    <t>Activité secondaire du chiffre d'affaire</t>
  </si>
  <si>
    <t>Activité 3 du chiffre d'affaire</t>
  </si>
  <si>
    <t>JUILLET</t>
  </si>
  <si>
    <t>AOUT</t>
  </si>
  <si>
    <t>SEPTEMBRE</t>
  </si>
  <si>
    <t>OCTOBRE</t>
  </si>
  <si>
    <t>NOVEMBRE</t>
  </si>
  <si>
    <t>DECEMBRE</t>
  </si>
  <si>
    <t>TOTAL 2</t>
  </si>
  <si>
    <t>CHARGE D'EXLOITATION</t>
  </si>
  <si>
    <t>1-CHARGES D'EXPLOITATION</t>
  </si>
  <si>
    <t>AVRIL</t>
  </si>
  <si>
    <t>ACHATS</t>
  </si>
  <si>
    <t xml:space="preserve">Achats de materiels </t>
  </si>
  <si>
    <t>Achat de fourniture de bureau</t>
  </si>
  <si>
    <t>Consommation en Eau</t>
  </si>
  <si>
    <t>Consommation en Electricité</t>
  </si>
  <si>
    <t>Produits d'entretien</t>
  </si>
  <si>
    <t>Carburant</t>
  </si>
  <si>
    <t>TOTAL ACHATS</t>
  </si>
  <si>
    <t>CHARGES EXTERNES</t>
  </si>
  <si>
    <t>Loyer</t>
  </si>
  <si>
    <t>Frais de télécommunication</t>
  </si>
  <si>
    <t>Voyages et Déplacements</t>
  </si>
  <si>
    <t>Pétits materiels et outillages</t>
  </si>
  <si>
    <t>TOTAL CHARGES EXTERNES</t>
  </si>
  <si>
    <t>SALAIRES ET CHARGES</t>
  </si>
  <si>
    <t>Rémunération de personnel</t>
  </si>
  <si>
    <t>Transport de personnel</t>
  </si>
  <si>
    <t>Charges sociales</t>
  </si>
  <si>
    <t>TOTAL SALAIRES ET CHARGES</t>
  </si>
  <si>
    <t>IMPOTS ET TAXES</t>
  </si>
  <si>
    <t>Taxe sur les salaires</t>
  </si>
  <si>
    <t>Autres taxes</t>
  </si>
  <si>
    <t>TOTAL IMPOTS ET TAXES</t>
  </si>
  <si>
    <t>TOTAL DES CHARGES D'EXPLOITATION</t>
  </si>
  <si>
    <t xml:space="preserve">COMPTE D'EXPLOITATION </t>
  </si>
  <si>
    <t>1-COMPTE D'EXPLOITATION</t>
  </si>
  <si>
    <t>CHIFFRE D'AFFAIRE</t>
  </si>
  <si>
    <t>Chiffre d'affaire</t>
  </si>
  <si>
    <t>CHARGES D'EXPLOITATION</t>
  </si>
  <si>
    <t>Achat marchandise</t>
  </si>
  <si>
    <t>Charges externes</t>
  </si>
  <si>
    <t>Salaires et charges</t>
  </si>
  <si>
    <t>Impots et charges</t>
  </si>
  <si>
    <t>TOTAL DECAISSEMENT</t>
  </si>
  <si>
    <t>RESULTAT</t>
  </si>
  <si>
    <t>TRESORERIE NET</t>
  </si>
  <si>
    <t>PREVISION D'EXPLOITATION</t>
  </si>
  <si>
    <t>AVANT PROPOS SUR LES PREVISIONS</t>
  </si>
  <si>
    <t xml:space="preserve">Tous ces previsions ci-après sont réalisés avec </t>
  </si>
  <si>
    <t>le financement souhaité.</t>
  </si>
  <si>
    <t>1-CHIFFRE D'AFFAIRE PREVISIONNEL</t>
  </si>
  <si>
    <t>2-CHARGES D'EXPLOITATION PREVISIONNEL</t>
  </si>
  <si>
    <t xml:space="preserve">TOTAL </t>
  </si>
  <si>
    <t>3- COMPTE D'EXPLOITATION</t>
  </si>
  <si>
    <t>PREVISION FINANCIERES</t>
  </si>
  <si>
    <t>RAPPORT IMPORTANT</t>
  </si>
  <si>
    <t>Compte d'exploitation prévisionnel (1)</t>
  </si>
  <si>
    <t>Durée du prèt (année)</t>
  </si>
  <si>
    <t>Rapport (1) / (2)</t>
  </si>
  <si>
    <t>Chiffre d'affaire Previsionnel (Rapport (1) /(2) )</t>
  </si>
  <si>
    <t>Total des rembourssements</t>
  </si>
  <si>
    <t>CONCLUSION</t>
  </si>
  <si>
    <t>Notre rapport du compte d'exploitation previsionnel</t>
  </si>
  <si>
    <t>sur la durée du prèt nous donne un chiffre d'affaire</t>
  </si>
  <si>
    <t>previsionnel annuel supérieur au total des</t>
  </si>
  <si>
    <t>rembourssements.</t>
  </si>
  <si>
    <t>2-PLAN DE TRESORERIE</t>
  </si>
  <si>
    <t>SOLDE</t>
  </si>
  <si>
    <t>Emprunt</t>
  </si>
  <si>
    <t>TOTAL  ENCAISSEMENT</t>
  </si>
  <si>
    <t>Frais financiers (intérèt)</t>
  </si>
  <si>
    <t>HORS EXPLOITATION</t>
  </si>
  <si>
    <t>Rembourssement de l'emprunt</t>
  </si>
  <si>
    <t>Investissement</t>
  </si>
  <si>
    <t>SOLDE CUMULE</t>
  </si>
  <si>
    <t>GARANTIE</t>
  </si>
  <si>
    <t>ETATS ANNEXES</t>
  </si>
  <si>
    <t>1-PRO FORMA</t>
  </si>
  <si>
    <t>2-NOS REFERENCES</t>
  </si>
  <si>
    <t>PLAN DE TRESORERIE MENSUEL</t>
  </si>
  <si>
    <t>1-1-PLAN DE TRESORERIE MENSUEL</t>
  </si>
  <si>
    <t>PERIODE :</t>
  </si>
  <si>
    <t>TOTAL ENCAISSEMENT</t>
  </si>
  <si>
    <t>DOCUMENTS ADMINISTRATIVES</t>
  </si>
  <si>
    <t>BUSINESS PLAN FINANCIER</t>
  </si>
  <si>
    <t xml:space="preserve">TOTAL CHARGES </t>
  </si>
  <si>
    <t>3- ÉTUDE FINANCIÈRE DU PROJET</t>
  </si>
  <si>
    <t>3-1 -COÛT TOTAL ESTIMATIF DU PROJET</t>
  </si>
  <si>
    <t>LES INVESTISSEMENTS</t>
  </si>
  <si>
    <t>Libellés</t>
  </si>
  <si>
    <t>Quantité</t>
  </si>
  <si>
    <t>Prix Unitaire (FCFA)</t>
  </si>
  <si>
    <t>Prix Total (FCFA)</t>
  </si>
  <si>
    <t>Apport personnel</t>
  </si>
  <si>
    <t>Montant sollicité</t>
  </si>
  <si>
    <t>Frais de création et autres frais d'enregistrement</t>
  </si>
  <si>
    <t>Caution pour le local (3 mois)</t>
  </si>
  <si>
    <t>Travaux et aménagement</t>
  </si>
  <si>
    <t>Mobiliers de bureau</t>
  </si>
  <si>
    <t>Meuble de rangement</t>
  </si>
  <si>
    <t>Ordinateurs de bureau</t>
  </si>
  <si>
    <t>Imprimante/Photocopieuse/Scanneur</t>
  </si>
  <si>
    <t>Routeur WIFI</t>
  </si>
  <si>
    <t>Groupe électrogène 5 KVA</t>
  </si>
  <si>
    <t>Tableau à marqueur</t>
  </si>
  <si>
    <t>Onduleur</t>
  </si>
  <si>
    <t>Téléphones Smartphones</t>
  </si>
  <si>
    <t>Vidéoprojecteur</t>
  </si>
  <si>
    <t>Cachets</t>
  </si>
  <si>
    <t>Boite à outils du Technicien informaticien</t>
  </si>
  <si>
    <t>Total INVESTISSEMENTS</t>
  </si>
  <si>
    <t>xxx</t>
  </si>
  <si>
    <t>LES BESOINS EN FONDS DE ROULEMENT (BFR)</t>
  </si>
  <si>
    <t>Rames de papiers</t>
  </si>
  <si>
    <t>Cartouches d'encre</t>
  </si>
  <si>
    <t>Petits outillages de bureau</t>
  </si>
  <si>
    <t>Besoin en frais de gestion (30 jrs de fonctionnement)</t>
  </si>
  <si>
    <t>Total BFR</t>
  </si>
  <si>
    <t>TOTAL GENERAL</t>
  </si>
  <si>
    <t>COÛT TOTAL ESTIMATIF DU PROJET          =</t>
  </si>
  <si>
    <t>INVESTISSEMENTS        +</t>
  </si>
  <si>
    <t>Activité principal du chiffre d'affaire</t>
  </si>
  <si>
    <t>NB: Les immobilisations seront amorties de façon linéaire sur 5 ans</t>
  </si>
  <si>
    <t>3-3 - PLAN D'AMORTISSEMENT DES IMMOBILISATIONS</t>
  </si>
  <si>
    <t>Désignations</t>
  </si>
  <si>
    <t>Total Général</t>
  </si>
  <si>
    <t>BFR</t>
  </si>
  <si>
    <t>Plan d'amortissement sur 5 ans</t>
  </si>
  <si>
    <t>ANNEE actuelle ( N )</t>
  </si>
  <si>
    <t>ANNEES PREVISIONNELLES</t>
  </si>
  <si>
    <t>N+5</t>
  </si>
  <si>
    <t xml:space="preserve">          3-Amortissement mensuel de l’emprunt </t>
  </si>
  <si>
    <t xml:space="preserve">          4-Plan de trésorerie prévisionnel mensuel </t>
  </si>
  <si>
    <t>II-EXPLOITATION N</t>
  </si>
  <si>
    <t xml:space="preserve">III-PREVISION D-EXPLOITATION  </t>
  </si>
  <si>
    <t xml:space="preserve">IV-PREVISIONS FINANCIERES  </t>
  </si>
  <si>
    <t>Achats</t>
  </si>
  <si>
    <t>TOTAL CHARGES D'EXPLOITATIONS</t>
  </si>
  <si>
    <t xml:space="preserve">Achats de ,,, </t>
  </si>
  <si>
    <t>SEUIL DE RENTABILITE ECONOMIQUE</t>
  </si>
  <si>
    <t>CHIFFRE D'AFFAIRES HT</t>
  </si>
  <si>
    <t>CHARGES VARIABLES</t>
  </si>
  <si>
    <t>CHARGES FIXES</t>
  </si>
  <si>
    <t>TOTAL DES CHARGES</t>
  </si>
  <si>
    <t>MARGE SUR COÛTS VARIABLES</t>
  </si>
  <si>
    <t>TAUX DE MARGE SUR COÛTS VARIABLES</t>
  </si>
  <si>
    <t>SEUIL DE RENTABILITE</t>
  </si>
  <si>
    <t>Excédent/insuffisance</t>
  </si>
  <si>
    <t>Point mort en CA par jour ouvré</t>
  </si>
  <si>
    <t>Mois d'atteinte du seuil de rentabilité</t>
  </si>
  <si>
    <t>Chiffre d'affaires critique (CAC) par an</t>
  </si>
  <si>
    <t>CAC par mois</t>
  </si>
  <si>
    <t>CAC par semaine</t>
  </si>
  <si>
    <t>CAC par jour</t>
  </si>
  <si>
    <t>RENTABILITE ECONOMIQUE DE L'INVESTISSEMENT</t>
  </si>
  <si>
    <t>Périodes</t>
  </si>
  <si>
    <t>FLUX NETS DE TRESORERIE</t>
  </si>
  <si>
    <t>Cumul</t>
  </si>
  <si>
    <t>Taux Interne de Rentabilité (TIR)</t>
  </si>
  <si>
    <t xml:space="preserve"> =&gt;</t>
  </si>
  <si>
    <t>Délai de Récupération du Capital Investi (DRCI)</t>
  </si>
  <si>
    <t>ans</t>
  </si>
  <si>
    <t>mois</t>
  </si>
  <si>
    <t>jours</t>
  </si>
  <si>
    <t>Taux de Rendement Comptable (TRC)</t>
  </si>
  <si>
    <t>Indice de Profitabilité (IP)</t>
  </si>
  <si>
    <t xml:space="preserve">   (politique d'achats, positionnement des prix/concurrence, prix de vente, promotions,…)</t>
  </si>
  <si>
    <t>Politique de prix attractif par rapport aux concurrents du quartier</t>
  </si>
  <si>
    <t>Carte de fidélité</t>
  </si>
  <si>
    <t>Réduction Carte familles Nombreuse</t>
  </si>
  <si>
    <t>Réductions Carte Etudiant</t>
  </si>
  <si>
    <t xml:space="preserve">                (mode de vente : de proximité, à distance, par correspondance,…)</t>
  </si>
  <si>
    <t xml:space="preserve">                       (politique de communication, de publicité, de promotions …)</t>
  </si>
  <si>
    <t>Campagne de publicité pour l'ouverture du magasin, avec distribution</t>
  </si>
  <si>
    <t>de dépliants promotionnels proposant une réduction de 15% sur verres et montures.</t>
  </si>
  <si>
    <t>Cette opération est valable dans lemois suivant la date d'ouverture du magasin</t>
  </si>
  <si>
    <t xml:space="preserve">Chaque année, une campagne publicitaire par mailing, </t>
  </si>
  <si>
    <t>proposant 15% de réduction sur verres et montures aux destinanatires du mailing</t>
  </si>
  <si>
    <t xml:space="preserve">                LA STRATEGIE DE L'ENTREPRISE </t>
  </si>
  <si>
    <t>Vente de proximité, clientèlè de quartier et de passage ,en ligne,…..</t>
  </si>
  <si>
    <t xml:space="preserve">                                                La stratégie des prix</t>
  </si>
  <si>
    <t xml:space="preserve">                                                      La stratégie de distribution</t>
  </si>
  <si>
    <t xml:space="preserve">                                        La stratégie de communication</t>
  </si>
  <si>
    <t xml:space="preserve">                                        Présentation de l’entreprise</t>
  </si>
  <si>
    <r>
      <t>Objet</t>
    </r>
    <r>
      <rPr>
        <sz val="18"/>
        <color rgb="FF000000"/>
        <rFont val="Calibri"/>
        <family val="2"/>
      </rPr>
      <t xml:space="preserve">  : Demande de prêt</t>
    </r>
  </si>
  <si>
    <r>
      <t xml:space="preserve">                                                                                                     </t>
    </r>
    <r>
      <rPr>
        <u/>
        <sz val="18"/>
        <color rgb="FF000000"/>
        <rFont val="Calibri"/>
        <family val="2"/>
      </rPr>
      <t>Le Gérant</t>
    </r>
  </si>
  <si>
    <r>
      <t xml:space="preserve">     </t>
    </r>
    <r>
      <rPr>
        <b/>
        <u/>
        <sz val="18"/>
        <color rgb="FF000000"/>
        <rFont val="Calibri"/>
        <family val="2"/>
      </rPr>
      <t>1-PRESENTATION DU PROMOTEUR</t>
    </r>
  </si>
  <si>
    <r>
      <t xml:space="preserve">ADRESSE POSTALE                                    : </t>
    </r>
    <r>
      <rPr>
        <b/>
        <sz val="18"/>
        <color rgb="FF000000"/>
        <rFont val="Calibri"/>
        <family val="2"/>
      </rPr>
      <t>……………..</t>
    </r>
  </si>
  <si>
    <r>
      <t>NOMBRE DE PARTS SOCIAL                     :</t>
    </r>
    <r>
      <rPr>
        <b/>
        <sz val="18"/>
        <color rgb="FF000000"/>
        <rFont val="Calibri"/>
        <family val="2"/>
      </rPr>
      <t>100 PARTS  de 10 000 FCFA chacune</t>
    </r>
    <r>
      <rPr>
        <sz val="18"/>
        <color rgb="FF000000"/>
        <rFont val="Calibri"/>
        <family val="2"/>
      </rPr>
      <t>.</t>
    </r>
  </si>
  <si>
    <r>
      <t>·</t>
    </r>
    <r>
      <rPr>
        <sz val="18"/>
        <color rgb="FF000000"/>
        <rFont val="Times New Roman"/>
        <family val="1"/>
      </rPr>
      <t xml:space="preserve">         </t>
    </r>
    <r>
      <rPr>
        <i/>
        <sz val="18"/>
        <color rgb="FF000000"/>
        <rFont val="Calibri"/>
        <family val="2"/>
      </rPr>
      <t>ACTIONNAIRE 1</t>
    </r>
    <r>
      <rPr>
        <sz val="18"/>
        <color rgb="FF000000"/>
        <rFont val="Calibri"/>
        <family val="2"/>
      </rPr>
      <t xml:space="preserve"> :Mr ……………  </t>
    </r>
    <r>
      <rPr>
        <b/>
        <sz val="18"/>
        <color rgb="FF000000"/>
        <rFont val="Calibri"/>
        <family val="2"/>
      </rPr>
      <t>70 °/°  DES PARTS. Nombre = 70</t>
    </r>
  </si>
  <si>
    <r>
      <t>·</t>
    </r>
    <r>
      <rPr>
        <sz val="18"/>
        <color rgb="FF000000"/>
        <rFont val="Times New Roman"/>
        <family val="1"/>
      </rPr>
      <t xml:space="preserve">         </t>
    </r>
    <r>
      <rPr>
        <i/>
        <sz val="18"/>
        <color rgb="FF000000"/>
        <rFont val="Calibri"/>
        <family val="2"/>
      </rPr>
      <t>ACTIONNAIRE 2</t>
    </r>
    <r>
      <rPr>
        <sz val="18"/>
        <color rgb="FF000000"/>
        <rFont val="Calibri"/>
        <family val="2"/>
      </rPr>
      <t xml:space="preserve"> :Mme……………….   </t>
    </r>
    <r>
      <rPr>
        <b/>
        <sz val="18"/>
        <color rgb="FF000000"/>
        <rFont val="Calibri"/>
        <family val="2"/>
      </rPr>
      <t>30 °/° DES PARTS. Nombre= 30</t>
    </r>
  </si>
  <si>
    <r>
      <t xml:space="preserve">NUMERO RCCM                                              : </t>
    </r>
    <r>
      <rPr>
        <b/>
        <sz val="18"/>
        <color rgb="FF000000"/>
        <rFont val="Calibri"/>
        <family val="2"/>
      </rPr>
      <t>…….</t>
    </r>
  </si>
  <si>
    <r>
      <t xml:space="preserve">NUMERO CC                                                     : </t>
    </r>
    <r>
      <rPr>
        <b/>
        <sz val="18"/>
        <color rgb="FF000000"/>
        <rFont val="Calibri"/>
        <family val="2"/>
      </rPr>
      <t>……</t>
    </r>
  </si>
  <si>
    <r>
      <t xml:space="preserve">DEBUT D’ACTIVITE                                           : </t>
    </r>
    <r>
      <rPr>
        <b/>
        <sz val="18"/>
        <color rgb="FF000000"/>
        <rFont val="Calibri"/>
        <family val="2"/>
      </rPr>
      <t>…..</t>
    </r>
  </si>
  <si>
    <r>
      <t xml:space="preserve">BANQUE                                                             : </t>
    </r>
    <r>
      <rPr>
        <b/>
        <sz val="18"/>
        <color rgb="FF000000"/>
        <rFont val="Calibri"/>
        <family val="2"/>
      </rPr>
      <t>…..</t>
    </r>
  </si>
  <si>
    <r>
      <t xml:space="preserve">NUMERO DE COMPTE                                     : </t>
    </r>
    <r>
      <rPr>
        <b/>
        <sz val="18"/>
        <color rgb="FF000000"/>
        <rFont val="Calibri"/>
        <family val="2"/>
      </rPr>
      <t>……</t>
    </r>
  </si>
  <si>
    <r>
      <t>1-Un manager général</t>
    </r>
    <r>
      <rPr>
        <sz val="18"/>
        <color rgb="FF000000"/>
        <rFont val="Calibri"/>
        <family val="2"/>
      </rPr>
      <t xml:space="preserve"> :Le manager a la tâche d’organiser la vie    </t>
    </r>
  </si>
  <si>
    <r>
      <t>2-Une assistante de Direction</t>
    </r>
    <r>
      <rPr>
        <sz val="18"/>
        <color rgb="FF000000"/>
        <rFont val="Calibri"/>
        <family val="2"/>
      </rPr>
      <t xml:space="preserve"> :elle assiste la Manager et </t>
    </r>
  </si>
  <si>
    <r>
      <t>3-Un responsable Comptable et Achats</t>
    </r>
    <r>
      <rPr>
        <sz val="18"/>
        <color rgb="FF000000"/>
        <rFont val="Calibri"/>
        <family val="2"/>
      </rPr>
      <t xml:space="preserve"> : il conçoit, met en œuvre et         </t>
    </r>
  </si>
  <si>
    <r>
      <t>4-Un service Commercial</t>
    </r>
    <r>
      <rPr>
        <sz val="18"/>
        <color rgb="FF000000"/>
        <rFont val="Calibri"/>
        <family val="2"/>
      </rPr>
      <t xml:space="preserve"> :Ce service est responsable de la vente </t>
    </r>
  </si>
  <si>
    <r>
      <t>5-Un service technique</t>
    </r>
    <r>
      <rPr>
        <sz val="18"/>
        <color rgb="FF000000"/>
        <rFont val="Calibri"/>
        <family val="2"/>
      </rPr>
      <t xml:space="preserve"> : Ce service est chargé de coordonné et supervisé </t>
    </r>
  </si>
  <si>
    <r>
      <t>v</t>
    </r>
    <r>
      <rPr>
        <sz val="18"/>
        <color rgb="FF000000"/>
        <rFont val="Times New Roman"/>
        <family val="1"/>
      </rPr>
      <t xml:space="preserve"> </t>
    </r>
    <r>
      <rPr>
        <i/>
        <sz val="18"/>
        <color rgb="FF000000"/>
        <rFont val="Calibri"/>
        <family val="2"/>
      </rPr>
      <t>Fournisseur de matériel et pièce industrielles</t>
    </r>
  </si>
  <si>
    <r>
      <t>v</t>
    </r>
    <r>
      <rPr>
        <sz val="18"/>
        <color rgb="FF000000"/>
        <rFont val="Times New Roman"/>
        <family val="1"/>
      </rPr>
      <t xml:space="preserve"> </t>
    </r>
    <r>
      <rPr>
        <i/>
        <sz val="18"/>
        <color rgb="FF000000"/>
        <rFont val="Calibri"/>
        <family val="2"/>
      </rPr>
      <t>Constructions de bâtiment et travaux public</t>
    </r>
  </si>
  <si>
    <r>
      <t>v</t>
    </r>
    <r>
      <rPr>
        <sz val="18"/>
        <color rgb="FF000000"/>
        <rFont val="Times New Roman"/>
        <family val="1"/>
      </rPr>
      <t xml:space="preserve"> </t>
    </r>
    <r>
      <rPr>
        <i/>
        <sz val="18"/>
        <color rgb="FF000000"/>
        <rFont val="Calibri"/>
        <family val="2"/>
      </rPr>
      <t>Offre de main d’œuvre qualifiée</t>
    </r>
  </si>
  <si>
    <r>
      <t>ü</t>
    </r>
    <r>
      <rPr>
        <sz val="18"/>
        <color rgb="FF000000"/>
        <rFont val="Times New Roman"/>
        <family val="1"/>
      </rPr>
      <t xml:space="preserve"> </t>
    </r>
    <r>
      <rPr>
        <sz val="18"/>
        <color rgb="FF000000"/>
        <rFont val="Calibri"/>
        <family val="2"/>
      </rPr>
      <t>Recruter exclusivement du personnel expérimenté</t>
    </r>
  </si>
  <si>
    <r>
      <t>ü</t>
    </r>
    <r>
      <rPr>
        <sz val="18"/>
        <color rgb="FF000000"/>
        <rFont val="Times New Roman"/>
        <family val="1"/>
      </rPr>
      <t xml:space="preserve"> </t>
    </r>
    <r>
      <rPr>
        <sz val="18"/>
        <color rgb="FF000000"/>
        <rFont val="Calibri"/>
        <family val="2"/>
      </rPr>
      <t xml:space="preserve">Avoir un programme normal de formation </t>
    </r>
  </si>
  <si>
    <r>
      <t>ü</t>
    </r>
    <r>
      <rPr>
        <sz val="18"/>
        <color rgb="FF000000"/>
        <rFont val="Times New Roman"/>
        <family val="1"/>
      </rPr>
      <t xml:space="preserve"> </t>
    </r>
    <r>
      <rPr>
        <sz val="18"/>
        <color rgb="FF000000"/>
        <rFont val="Calibri"/>
        <family val="2"/>
      </rPr>
      <t>Assurer un programme de formation continue pour son personnel.</t>
    </r>
  </si>
  <si>
    <t xml:space="preserve">POURQUOI UN RESULTAT  NEGATIF </t>
  </si>
  <si>
    <r>
      <t>2-</t>
    </r>
    <r>
      <rPr>
        <b/>
        <u/>
        <sz val="28"/>
        <color rgb="FF000000"/>
        <rFont val="Calibri"/>
        <family val="2"/>
      </rPr>
      <t>IDENTIFICATION DE L’ENTREPRISE</t>
    </r>
  </si>
  <si>
    <t>1-5-CHARGES D'EXPLOITATION</t>
  </si>
  <si>
    <t>1-4-CHARGES D'EXPLOITATION</t>
  </si>
  <si>
    <t>1-3-CHARGES D'EXPLOITATION</t>
  </si>
  <si>
    <t>1-2-CHARGES D'EXPLOITATION</t>
  </si>
  <si>
    <t>1-1-CHARGES D'EXPLOITATION</t>
  </si>
  <si>
    <t>TOTAL EXPLOITATIONS</t>
  </si>
  <si>
    <t>1-1-CHIFFRE D'AFFAIRE</t>
  </si>
  <si>
    <t>1-2-CHIFFRE D'AFFAIRE</t>
  </si>
  <si>
    <t>1-3-CHIFFRE D'AFFAIRE</t>
  </si>
  <si>
    <t>1-4-CHIFFRE D'AFFAIRE</t>
  </si>
  <si>
    <t>1-5-CHIFFRE D'AFFAIRE</t>
  </si>
  <si>
    <t>Capacité d'autofinancement (III+V)</t>
  </si>
  <si>
    <t>Résultats nets d'exploitation (V)</t>
  </si>
  <si>
    <t>Impôts sur les bénéfices 25% (IV)</t>
  </si>
  <si>
    <t>Résultats d'exploitation (I-II-III)</t>
  </si>
  <si>
    <t>Dotations aux amortissements (III)</t>
  </si>
  <si>
    <t>TOTAL CHARGES (II)</t>
  </si>
  <si>
    <t>TOTAL PRODUITS (I)</t>
  </si>
  <si>
    <t xml:space="preserve">Charges </t>
  </si>
  <si>
    <t>CAPACITE D'AUTOFINANCEMENT (C.A.F)</t>
  </si>
  <si>
    <t>VARIATION DU B.F.R</t>
  </si>
  <si>
    <t>B.F.R recupérable à 100%</t>
  </si>
  <si>
    <t>Besoin en fond de roulement récupérable</t>
  </si>
  <si>
    <t>Ainsi ,cela represente 10% du chiffre d'affaire.</t>
  </si>
  <si>
    <t>Le BFR  répresente 36 jours dans l'année,or l'année compte 360 jours</t>
  </si>
  <si>
    <t xml:space="preserve"> 2-MODIFIER la partie ETUDE et STRATEGIE et l'adapter à notre entreprise</t>
  </si>
  <si>
    <t>3-MODIFIER  les informations à l'ouverture  et l'adapter à notre entreprise</t>
  </si>
  <si>
    <t>5-imprimer les differentes parties et ranger selon le sommaire</t>
  </si>
  <si>
    <t>4-MODIFIER  les feuilles de couleur blue et l'adapter à notre entreprise</t>
  </si>
  <si>
    <t>Valeur Actuelle Nette au taux de :</t>
  </si>
  <si>
    <t>Années</t>
  </si>
  <si>
    <t>RESSOURCES</t>
  </si>
  <si>
    <t>Capacité d'autofinancement (CAF)</t>
  </si>
  <si>
    <t>Amortissement de l'emprunt</t>
  </si>
  <si>
    <t>TOTAL RESSOURCES</t>
  </si>
  <si>
    <t>B.F.R récupérable</t>
  </si>
  <si>
    <t>Valeur  résiduelle</t>
  </si>
  <si>
    <t>EMPLOIES</t>
  </si>
  <si>
    <t xml:space="preserve">Variation du B.F.R </t>
  </si>
  <si>
    <t>TOTAL EMPLOIES</t>
  </si>
  <si>
    <t>TABLEAU DES FLUX NET DE TRESORERIE</t>
  </si>
  <si>
    <t xml:space="preserve">         3-Les différentes analyses financières</t>
  </si>
  <si>
    <t>COOL'EMPRUNT V21.2</t>
  </si>
  <si>
    <t>FLUX NET DE TRESORERIE</t>
  </si>
  <si>
    <t>MBC</t>
  </si>
  <si>
    <t xml:space="preserve">                                                                                    Par  MBC</t>
  </si>
  <si>
    <t xml:space="preserve">                                                                                   (+221) 775152872</t>
  </si>
  <si>
    <t xml:space="preserve">                                                                                                                lieu,date DAKA LE, 10 MAI 2025</t>
  </si>
  <si>
    <t>Tel : 775152872</t>
  </si>
  <si>
    <t>DAKAR SENEGAL                                                                                A</t>
  </si>
  <si>
    <t xml:space="preserve">                                                                                           Madama la Directrice de la</t>
  </si>
  <si>
    <t xml:space="preserve">                                                 DER</t>
  </si>
  <si>
    <t>Madame,</t>
  </si>
  <si>
    <t>l’obtention d’un prêt de 10 000 000 FCFA</t>
  </si>
  <si>
    <t>pour le fainancement de notre projet de FERME AGRICOLE.</t>
  </si>
  <si>
    <t>Ce prêt est remboursable sur une période de 02 ans ,</t>
  </si>
  <si>
    <t xml:space="preserve">nous permettra d'acquerir le necessaire pour exploiter notre projet dans les meilleures </t>
  </si>
  <si>
    <t>conditions de rentabilité possibles.</t>
  </si>
  <si>
    <t>Nom                                                : GAYE</t>
  </si>
  <si>
    <t>Prénoms                                         :  SERIGNE</t>
  </si>
  <si>
    <t>Domicile                                          : RUE 39X18 MEDINA DAKAR</t>
  </si>
  <si>
    <t>Sous- quartier                                 : FASS DELORMES</t>
  </si>
  <si>
    <t>Téléphone                                        : 775152872</t>
  </si>
  <si>
    <t>SITUATION MATRIMONIALE         : MARIE</t>
  </si>
  <si>
    <t xml:space="preserve">NOMBRE D’ENFANTS                       : 9 </t>
  </si>
  <si>
    <t>EXPERIENCES : 10 ANS</t>
  </si>
  <si>
    <t>RAISON SOCIALE                                       :  MBC</t>
  </si>
  <si>
    <r>
      <t xml:space="preserve">FORME JURIDIQUE                                   </t>
    </r>
    <r>
      <rPr>
        <b/>
        <sz val="18"/>
        <color rgb="FF000000"/>
        <rFont val="Calibri"/>
        <family val="2"/>
      </rPr>
      <t>: E I</t>
    </r>
  </si>
  <si>
    <t>SIEGE SOCIAL                                                    : RUE 39X18 MEDINA</t>
  </si>
  <si>
    <t xml:space="preserve">Née le                                             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</si>
</sst>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C_F_A_-;\-* #,##0\ _C_F_A_-;_-* &quot;-&quot;\ _C_F_A_-;_-@_-"/>
    <numFmt numFmtId="164" formatCode="#,##0\ _€"/>
    <numFmt numFmtId="165" formatCode="#,##0_ ;[Red]\-#,##0\ "/>
  </numFmts>
  <fonts count="6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2"/>
      <color rgb="FFFF0000"/>
      <name val="Calibri"/>
      <family val="2"/>
    </font>
    <font>
      <b/>
      <sz val="48"/>
      <color rgb="FF000000"/>
      <name val="Calibri"/>
      <family val="2"/>
    </font>
    <font>
      <b/>
      <sz val="36"/>
      <color rgb="FF000000"/>
      <name val="Calibri"/>
      <family val="2"/>
    </font>
    <font>
      <b/>
      <sz val="72"/>
      <color rgb="FFFFFFFF"/>
      <name val="Calibri"/>
      <family val="2"/>
    </font>
    <font>
      <b/>
      <sz val="16"/>
      <color rgb="FF000000"/>
      <name val="Calibri"/>
      <family val="2"/>
    </font>
    <font>
      <b/>
      <i/>
      <sz val="26"/>
      <color rgb="FF000000"/>
      <name val="Calibri"/>
      <family val="2"/>
    </font>
    <font>
      <b/>
      <sz val="36"/>
      <color rgb="FFFF0000"/>
      <name val="Calibri"/>
      <family val="2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b/>
      <sz val="28"/>
      <color rgb="FF000000"/>
      <name val="Calibri"/>
      <family val="2"/>
    </font>
    <font>
      <b/>
      <sz val="11"/>
      <color rgb="FF000000"/>
      <name val="Calibri"/>
      <family val="2"/>
    </font>
    <font>
      <b/>
      <sz val="36"/>
      <color rgb="FFFFFFFF"/>
      <name val="Calibri"/>
      <family val="2"/>
    </font>
    <font>
      <b/>
      <sz val="14"/>
      <color rgb="FF000000"/>
      <name val="Calibri"/>
      <family val="2"/>
    </font>
    <font>
      <sz val="16"/>
      <color rgb="FF000000"/>
      <name val="Calibri"/>
      <family val="2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sz val="26"/>
      <color rgb="FF000000"/>
      <name val="Calibri"/>
      <family val="2"/>
    </font>
    <font>
      <b/>
      <u/>
      <sz val="20"/>
      <color rgb="FF000000"/>
      <name val="Calibri"/>
      <family val="2"/>
    </font>
    <font>
      <b/>
      <u/>
      <sz val="22"/>
      <color rgb="FF000000"/>
      <name val="Calibri"/>
      <family val="2"/>
    </font>
    <font>
      <b/>
      <u/>
      <sz val="18"/>
      <color rgb="FF000000"/>
      <name val="Calibri"/>
      <family val="2"/>
    </font>
    <font>
      <sz val="18"/>
      <color rgb="FF000000"/>
      <name val="Calibri"/>
      <family val="2"/>
    </font>
    <font>
      <b/>
      <u/>
      <sz val="24"/>
      <color rgb="FF000000"/>
      <name val="Calibri"/>
      <family val="2"/>
    </font>
    <font>
      <b/>
      <sz val="22"/>
      <color rgb="FF000000"/>
      <name val="Calibri"/>
      <family val="2"/>
    </font>
    <font>
      <b/>
      <i/>
      <sz val="18"/>
      <color rgb="FF000000"/>
      <name val="Calibri"/>
      <family val="2"/>
    </font>
    <font>
      <i/>
      <sz val="18"/>
      <color rgb="FF000000"/>
      <name val="Calibri"/>
      <family val="2"/>
    </font>
    <font>
      <sz val="18"/>
      <color rgb="FF000000"/>
      <name val="Wingdings"/>
      <charset val="2"/>
    </font>
    <font>
      <b/>
      <sz val="24"/>
      <color rgb="FF000000"/>
      <name val="Calibri"/>
      <family val="2"/>
    </font>
    <font>
      <b/>
      <i/>
      <u/>
      <sz val="18"/>
      <color rgb="FF000000"/>
      <name val="Calibri"/>
      <family val="2"/>
    </font>
    <font>
      <b/>
      <u/>
      <sz val="12"/>
      <color theme="5" tint="-0.499984740745262"/>
      <name val="Cambria"/>
      <family val="1"/>
    </font>
    <font>
      <b/>
      <u/>
      <sz val="18"/>
      <color rgb="FFFFC000"/>
      <name val="Cambria"/>
      <family val="1"/>
    </font>
    <font>
      <b/>
      <sz val="12"/>
      <color theme="1"/>
      <name val="Cambria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1"/>
      <color rgb="FF7030A0"/>
      <name val="Cambria"/>
      <family val="1"/>
    </font>
    <font>
      <b/>
      <sz val="12"/>
      <color rgb="FF002060"/>
      <name val="Cambria"/>
      <family val="1"/>
    </font>
    <font>
      <b/>
      <sz val="16"/>
      <color rgb="FF7030A0"/>
      <name val="Cambria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mbria"/>
      <family val="1"/>
    </font>
    <font>
      <b/>
      <sz val="12"/>
      <color rgb="FF7030A0"/>
      <name val="Cambria"/>
      <family val="1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u/>
      <sz val="18"/>
      <color rgb="FF000000"/>
      <name val="Calibri"/>
      <family val="2"/>
    </font>
    <font>
      <sz val="18"/>
      <color rgb="FF000000"/>
      <name val="Symbol"/>
      <family val="1"/>
      <charset val="2"/>
    </font>
    <font>
      <sz val="18"/>
      <color rgb="FF000000"/>
      <name val="Times New Roman"/>
      <family val="1"/>
    </font>
    <font>
      <b/>
      <u/>
      <sz val="20"/>
      <name val="Arial"/>
      <family val="2"/>
    </font>
    <font>
      <b/>
      <u/>
      <sz val="26"/>
      <color rgb="FF000000"/>
      <name val="Calibri"/>
      <family val="2"/>
    </font>
    <font>
      <b/>
      <u/>
      <sz val="28"/>
      <color rgb="FF000000"/>
      <name val="Calibri"/>
      <family val="2"/>
    </font>
    <font>
      <b/>
      <sz val="22"/>
      <color rgb="FFFF0000"/>
      <name val="Times New Roman"/>
      <family val="1"/>
    </font>
    <font>
      <b/>
      <sz val="9"/>
      <color indexed="81"/>
      <name val="Tahoma"/>
      <family val="2"/>
    </font>
    <font>
      <b/>
      <sz val="10"/>
      <color rgb="FF7030A0"/>
      <name val="Cambria"/>
      <family val="1"/>
    </font>
    <font>
      <sz val="10"/>
      <color theme="1"/>
      <name val="Cambria"/>
      <family val="1"/>
    </font>
    <font>
      <b/>
      <sz val="11"/>
      <color rgb="FF002060"/>
      <name val="Cambria"/>
      <family val="1"/>
    </font>
    <font>
      <b/>
      <sz val="18"/>
      <color theme="1"/>
      <name val="Cambria"/>
      <family val="1"/>
    </font>
    <font>
      <sz val="22"/>
      <color rgb="FFFF0000"/>
      <name val="Arial"/>
      <family val="2"/>
    </font>
    <font>
      <sz val="11"/>
      <color rgb="FF000000"/>
      <name val="Calibri"/>
      <family val="2"/>
    </font>
    <font>
      <sz val="16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BDBDB"/>
        <bgColor rgb="FFDBDBDB"/>
      </patternFill>
    </fill>
    <fill>
      <patternFill patternType="solid">
        <fgColor rgb="FFE7E6E6"/>
        <bgColor rgb="FFE7E6E6"/>
      </patternFill>
    </fill>
    <fill>
      <patternFill patternType="solid">
        <fgColor rgb="FF4472C4"/>
        <bgColor rgb="FF4472C4"/>
      </patternFill>
    </fill>
    <fill>
      <patternFill patternType="solid">
        <fgColor rgb="FFF4B084"/>
        <bgColor rgb="FFF4B084"/>
      </patternFill>
    </fill>
    <fill>
      <patternFill patternType="solid">
        <fgColor rgb="FFFFD966"/>
        <bgColor rgb="FFFFD966"/>
      </patternFill>
    </fill>
    <fill>
      <patternFill patternType="solid">
        <fgColor rgb="FF404040"/>
        <bgColor rgb="FF404040"/>
      </patternFill>
    </fill>
    <fill>
      <patternFill patternType="solid">
        <fgColor rgb="FFC6E0B4"/>
        <bgColor rgb="FFC6E0B4"/>
      </patternFill>
    </fill>
    <fill>
      <patternFill patternType="solid">
        <fgColor rgb="FFBDD7EE"/>
        <bgColor rgb="FFBDD7EE"/>
      </patternFill>
    </fill>
    <fill>
      <patternFill patternType="solid">
        <fgColor rgb="FFD6DCE4"/>
        <bgColor rgb="FFD6DCE4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D0CECE"/>
        <bgColor rgb="FFD0CECE"/>
      </patternFill>
    </fill>
    <fill>
      <patternFill patternType="solid">
        <fgColor rgb="FFFCE4D6"/>
        <bgColor rgb="FFFCE4D6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rgb="FFFFD966"/>
      </patternFill>
    </fill>
    <fill>
      <patternFill patternType="solid">
        <fgColor theme="0"/>
        <bgColor rgb="FFFFD966"/>
      </patternFill>
    </fill>
    <fill>
      <patternFill patternType="solid">
        <fgColor theme="5" tint="-0.249977111117893"/>
        <bgColor rgb="FFA9D08E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00"/>
        <bgColor rgb="FFFFCC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8CBAD"/>
      </patternFill>
    </fill>
    <fill>
      <patternFill patternType="solid">
        <fgColor theme="0"/>
        <bgColor rgb="FFDDEBF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47" fillId="0" borderId="0"/>
    <xf numFmtId="0" fontId="1" fillId="0" borderId="0"/>
    <xf numFmtId="41" fontId="66" fillId="0" borderId="0" applyFont="0" applyFill="0" applyBorder="0" applyAlignment="0" applyProtection="0"/>
  </cellStyleXfs>
  <cellXfs count="614">
    <xf numFmtId="0" fontId="0" fillId="0" borderId="0" xfId="0"/>
    <xf numFmtId="0" fontId="6" fillId="3" borderId="0" xfId="0" applyFont="1" applyFill="1" applyAlignment="1"/>
    <xf numFmtId="0" fontId="0" fillId="4" borderId="0" xfId="0" applyFill="1"/>
    <xf numFmtId="0" fontId="7" fillId="4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8" fillId="0" borderId="0" xfId="0" applyFont="1"/>
    <xf numFmtId="0" fontId="11" fillId="0" borderId="2" xfId="0" applyFont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0" borderId="0" xfId="0" applyFont="1" applyAlignment="1"/>
    <xf numFmtId="0" fontId="16" fillId="0" borderId="0" xfId="0" applyFont="1" applyAlignment="1"/>
    <xf numFmtId="10" fontId="16" fillId="0" borderId="0" xfId="0" applyNumberFormat="1" applyFont="1" applyAlignment="1"/>
    <xf numFmtId="0" fontId="8" fillId="11" borderId="5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3" fontId="17" fillId="0" borderId="8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3" fontId="17" fillId="0" borderId="2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0" fillId="0" borderId="0" xfId="0" applyNumberFormat="1"/>
    <xf numFmtId="0" fontId="20" fillId="13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left" vertical="center"/>
    </xf>
    <xf numFmtId="0" fontId="11" fillId="13" borderId="4" xfId="0" applyFont="1" applyFill="1" applyBorder="1" applyAlignment="1">
      <alignment horizontal="center" vertical="center"/>
    </xf>
    <xf numFmtId="10" fontId="11" fillId="13" borderId="4" xfId="0" applyNumberFormat="1" applyFont="1" applyFill="1" applyBorder="1" applyAlignment="1">
      <alignment horizontal="left" vertical="center"/>
    </xf>
    <xf numFmtId="0" fontId="11" fillId="11" borderId="2" xfId="0" applyFont="1" applyFill="1" applyBorder="1" applyAlignment="1">
      <alignment horizontal="center" vertical="center"/>
    </xf>
    <xf numFmtId="0" fontId="16" fillId="11" borderId="2" xfId="0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0" fontId="20" fillId="0" borderId="2" xfId="0" applyFont="1" applyBorder="1"/>
    <xf numFmtId="0" fontId="20" fillId="0" borderId="10" xfId="0" applyFont="1" applyBorder="1"/>
    <xf numFmtId="3" fontId="20" fillId="0" borderId="10" xfId="0" applyNumberFormat="1" applyFont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0" fontId="20" fillId="0" borderId="11" xfId="0" applyFont="1" applyBorder="1"/>
    <xf numFmtId="3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/>
    <xf numFmtId="0" fontId="20" fillId="0" borderId="13" xfId="0" applyFont="1" applyBorder="1"/>
    <xf numFmtId="3" fontId="8" fillId="0" borderId="9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3" fontId="19" fillId="0" borderId="1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17" fillId="0" borderId="0" xfId="0" applyFont="1"/>
    <xf numFmtId="0" fontId="1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left" vertical="center" indent="5"/>
    </xf>
    <xf numFmtId="0" fontId="26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0" borderId="0" xfId="0" applyFont="1"/>
    <xf numFmtId="0" fontId="19" fillId="0" borderId="0" xfId="0" applyFont="1"/>
    <xf numFmtId="0" fontId="0" fillId="13" borderId="0" xfId="0" applyFill="1"/>
    <xf numFmtId="0" fontId="8" fillId="13" borderId="0" xfId="0" applyFont="1" applyFill="1" applyAlignment="1">
      <alignment horizontal="center"/>
    </xf>
    <xf numFmtId="3" fontId="21" fillId="0" borderId="2" xfId="0" applyNumberFormat="1" applyFont="1" applyBorder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3" fontId="16" fillId="4" borderId="2" xfId="0" applyNumberFormat="1" applyFont="1" applyFill="1" applyBorder="1" applyAlignment="1">
      <alignment vertical="center"/>
    </xf>
    <xf numFmtId="3" fontId="21" fillId="0" borderId="2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 vertical="center"/>
    </xf>
    <xf numFmtId="3" fontId="16" fillId="4" borderId="2" xfId="0" applyNumberFormat="1" applyFont="1" applyFill="1" applyBorder="1" applyAlignment="1">
      <alignment horizontal="center" vertical="center"/>
    </xf>
    <xf numFmtId="0" fontId="20" fillId="13" borderId="0" xfId="0" applyFont="1" applyFill="1"/>
    <xf numFmtId="0" fontId="11" fillId="13" borderId="0" xfId="0" applyFont="1" applyFill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3" fontId="20" fillId="0" borderId="12" xfId="0" applyNumberFormat="1" applyFont="1" applyBorder="1" applyAlignment="1">
      <alignment horizontal="left"/>
    </xf>
    <xf numFmtId="3" fontId="11" fillId="10" borderId="2" xfId="0" applyNumberFormat="1" applyFont="1" applyFill="1" applyBorder="1" applyAlignment="1">
      <alignment horizontal="center" vertical="center"/>
    </xf>
    <xf numFmtId="3" fontId="11" fillId="0" borderId="13" xfId="0" applyNumberFormat="1" applyFont="1" applyBorder="1" applyAlignment="1">
      <alignment horizontal="left"/>
    </xf>
    <xf numFmtId="3" fontId="11" fillId="0" borderId="10" xfId="0" applyNumberFormat="1" applyFont="1" applyBorder="1" applyAlignment="1">
      <alignment horizontal="center" vertical="center"/>
    </xf>
    <xf numFmtId="3" fontId="20" fillId="0" borderId="2" xfId="0" applyNumberFormat="1" applyFont="1" applyBorder="1" applyAlignment="1">
      <alignment horizontal="left" vertical="center"/>
    </xf>
    <xf numFmtId="3" fontId="11" fillId="0" borderId="2" xfId="0" applyNumberFormat="1" applyFont="1" applyBorder="1" applyAlignment="1">
      <alignment horizontal="left" vertical="center"/>
    </xf>
    <xf numFmtId="3" fontId="11" fillId="4" borderId="2" xfId="0" applyNumberFormat="1" applyFont="1" applyFill="1" applyBorder="1" applyAlignment="1">
      <alignment horizontal="center" vertical="center"/>
    </xf>
    <xf numFmtId="3" fontId="11" fillId="4" borderId="2" xfId="0" applyNumberFormat="1" applyFont="1" applyFill="1" applyBorder="1" applyAlignment="1">
      <alignment horizontal="left" vertical="center"/>
    </xf>
    <xf numFmtId="0" fontId="16" fillId="13" borderId="0" xfId="0" applyFont="1" applyFill="1" applyAlignment="1">
      <alignment horizontal="center"/>
    </xf>
    <xf numFmtId="0" fontId="11" fillId="0" borderId="19" xfId="0" applyFont="1" applyBorder="1" applyAlignment="1">
      <alignment horizontal="center"/>
    </xf>
    <xf numFmtId="3" fontId="20" fillId="0" borderId="23" xfId="0" applyNumberFormat="1" applyFont="1" applyBorder="1" applyAlignment="1">
      <alignment horizontal="left" vertical="center"/>
    </xf>
    <xf numFmtId="3" fontId="11" fillId="0" borderId="23" xfId="0" applyNumberFormat="1" applyFont="1" applyBorder="1" applyAlignment="1">
      <alignment horizontal="left" vertical="center"/>
    </xf>
    <xf numFmtId="3" fontId="11" fillId="4" borderId="25" xfId="0" applyNumberFormat="1" applyFont="1" applyFill="1" applyBorder="1" applyAlignment="1">
      <alignment horizontal="left" vertical="center"/>
    </xf>
    <xf numFmtId="3" fontId="11" fillId="4" borderId="9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8" fillId="0" borderId="0" xfId="0" applyFont="1"/>
    <xf numFmtId="0" fontId="16" fillId="0" borderId="0" xfId="0" applyFont="1"/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3" fontId="21" fillId="0" borderId="2" xfId="0" applyNumberFormat="1" applyFont="1" applyBorder="1" applyAlignment="1">
      <alignment horizontal="left" indent="1"/>
    </xf>
    <xf numFmtId="3" fontId="20" fillId="0" borderId="2" xfId="0" applyNumberFormat="1" applyFont="1" applyBorder="1" applyAlignment="1">
      <alignment horizontal="center"/>
    </xf>
    <xf numFmtId="3" fontId="11" fillId="13" borderId="2" xfId="0" applyNumberFormat="1" applyFont="1" applyFill="1" applyBorder="1" applyAlignment="1">
      <alignment horizontal="center"/>
    </xf>
    <xf numFmtId="3" fontId="16" fillId="0" borderId="2" xfId="0" applyNumberFormat="1" applyFont="1" applyBorder="1" applyAlignment="1">
      <alignment horizontal="left"/>
    </xf>
    <xf numFmtId="3" fontId="11" fillId="0" borderId="2" xfId="0" applyNumberFormat="1" applyFont="1" applyBorder="1" applyAlignment="1">
      <alignment horizontal="center"/>
    </xf>
    <xf numFmtId="3" fontId="16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2" xfId="0" applyFont="1" applyBorder="1" applyAlignment="1">
      <alignment horizontal="center"/>
    </xf>
    <xf numFmtId="3" fontId="17" fillId="0" borderId="2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left"/>
    </xf>
    <xf numFmtId="3" fontId="8" fillId="4" borderId="2" xfId="0" applyNumberFormat="1" applyFont="1" applyFill="1" applyBorder="1" applyAlignment="1">
      <alignment horizontal="left"/>
    </xf>
    <xf numFmtId="3" fontId="11" fillId="10" borderId="2" xfId="0" applyNumberFormat="1" applyFont="1" applyFill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11" borderId="2" xfId="0" applyNumberFormat="1" applyFont="1" applyFill="1" applyBorder="1" applyAlignment="1">
      <alignment horizontal="left"/>
    </xf>
    <xf numFmtId="3" fontId="16" fillId="11" borderId="2" xfId="0" applyNumberFormat="1" applyFont="1" applyFill="1" applyBorder="1" applyAlignment="1">
      <alignment horizontal="center"/>
    </xf>
    <xf numFmtId="3" fontId="8" fillId="11" borderId="2" xfId="0" applyNumberFormat="1" applyFont="1" applyFill="1" applyBorder="1" applyAlignment="1">
      <alignment horizontal="center"/>
    </xf>
    <xf numFmtId="3" fontId="16" fillId="9" borderId="2" xfId="0" applyNumberFormat="1" applyFont="1" applyFill="1" applyBorder="1" applyAlignment="1">
      <alignment horizontal="center" vertical="center"/>
    </xf>
    <xf numFmtId="0" fontId="14" fillId="15" borderId="0" xfId="0" applyFont="1" applyFill="1"/>
    <xf numFmtId="0" fontId="33" fillId="15" borderId="0" xfId="0" applyFont="1" applyFill="1"/>
    <xf numFmtId="0" fontId="16" fillId="15" borderId="0" xfId="0" applyFont="1" applyFill="1"/>
    <xf numFmtId="3" fontId="8" fillId="10" borderId="2" xfId="0" applyNumberFormat="1" applyFont="1" applyFill="1" applyBorder="1" applyAlignment="1">
      <alignment horizontal="center"/>
    </xf>
    <xf numFmtId="3" fontId="8" fillId="4" borderId="2" xfId="0" applyNumberFormat="1" applyFont="1" applyFill="1" applyBorder="1" applyAlignment="1"/>
    <xf numFmtId="3" fontId="8" fillId="4" borderId="2" xfId="0" applyNumberFormat="1" applyFont="1" applyFill="1" applyBorder="1" applyAlignment="1">
      <alignment horizontal="center"/>
    </xf>
    <xf numFmtId="3" fontId="8" fillId="17" borderId="2" xfId="0" applyNumberFormat="1" applyFont="1" applyFill="1" applyBorder="1" applyAlignment="1">
      <alignment horizontal="left"/>
    </xf>
    <xf numFmtId="3" fontId="8" fillId="17" borderId="2" xfId="0" applyNumberFormat="1" applyFont="1" applyFill="1" applyBorder="1" applyAlignment="1">
      <alignment horizontal="center"/>
    </xf>
    <xf numFmtId="3" fontId="11" fillId="17" borderId="2" xfId="0" applyNumberFormat="1" applyFont="1" applyFill="1" applyBorder="1" applyAlignment="1">
      <alignment horizontal="center"/>
    </xf>
    <xf numFmtId="3" fontId="16" fillId="17" borderId="2" xfId="0" applyNumberFormat="1" applyFont="1" applyFill="1" applyBorder="1" applyAlignment="1">
      <alignment horizontal="center"/>
    </xf>
    <xf numFmtId="3" fontId="8" fillId="17" borderId="2" xfId="0" applyNumberFormat="1" applyFont="1" applyFill="1" applyBorder="1" applyAlignment="1">
      <alignment horizontal="left"/>
    </xf>
    <xf numFmtId="3" fontId="11" fillId="17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left" indent="10"/>
    </xf>
    <xf numFmtId="3" fontId="20" fillId="0" borderId="2" xfId="0" applyNumberFormat="1" applyFont="1" applyBorder="1" applyAlignment="1">
      <alignment horizontal="left" vertical="center" indent="6"/>
    </xf>
    <xf numFmtId="3" fontId="11" fillId="0" borderId="2" xfId="0" applyNumberFormat="1" applyFont="1" applyBorder="1" applyAlignment="1">
      <alignment horizontal="right" indent="2"/>
    </xf>
    <xf numFmtId="3" fontId="11" fillId="0" borderId="2" xfId="0" applyNumberFormat="1" applyFont="1" applyBorder="1" applyAlignment="1">
      <alignment horizontal="left" indent="6"/>
    </xf>
    <xf numFmtId="3" fontId="20" fillId="0" borderId="2" xfId="0" applyNumberFormat="1" applyFont="1" applyBorder="1" applyAlignment="1">
      <alignment horizontal="right" vertical="center" indent="2"/>
    </xf>
    <xf numFmtId="3" fontId="20" fillId="0" borderId="2" xfId="0" applyNumberFormat="1" applyFont="1" applyBorder="1" applyAlignment="1">
      <alignment horizontal="right" indent="2"/>
    </xf>
    <xf numFmtId="3" fontId="20" fillId="0" borderId="2" xfId="0" applyNumberFormat="1" applyFont="1" applyBorder="1" applyAlignment="1">
      <alignment horizontal="left" indent="6"/>
    </xf>
    <xf numFmtId="3" fontId="20" fillId="0" borderId="10" xfId="0" applyNumberFormat="1" applyFont="1" applyBorder="1" applyAlignment="1">
      <alignment horizontal="right" vertical="center" indent="2"/>
    </xf>
    <xf numFmtId="3" fontId="20" fillId="0" borderId="10" xfId="0" applyNumberFormat="1" applyFont="1" applyBorder="1" applyAlignment="1">
      <alignment horizontal="left" indent="6"/>
    </xf>
    <xf numFmtId="3" fontId="11" fillId="0" borderId="6" xfId="0" applyNumberFormat="1" applyFont="1" applyBorder="1" applyAlignment="1">
      <alignment horizontal="left" indent="10"/>
    </xf>
    <xf numFmtId="3" fontId="11" fillId="0" borderId="6" xfId="0" applyNumberFormat="1" applyFont="1" applyBorder="1" applyAlignment="1">
      <alignment horizontal="right" indent="2"/>
    </xf>
    <xf numFmtId="3" fontId="11" fillId="0" borderId="7" xfId="0" applyNumberFormat="1" applyFont="1" applyBorder="1" applyAlignment="1">
      <alignment horizontal="left" indent="6"/>
    </xf>
    <xf numFmtId="3" fontId="20" fillId="0" borderId="8" xfId="0" applyNumberFormat="1" applyFont="1" applyBorder="1" applyAlignment="1">
      <alignment horizontal="left" vertical="center" indent="6"/>
    </xf>
    <xf numFmtId="3" fontId="20" fillId="0" borderId="10" xfId="0" applyNumberFormat="1" applyFont="1" applyBorder="1" applyAlignment="1">
      <alignment horizontal="left" vertical="center" indent="6"/>
    </xf>
    <xf numFmtId="3" fontId="11" fillId="0" borderId="6" xfId="0" applyNumberFormat="1" applyFont="1" applyBorder="1" applyAlignment="1">
      <alignment horizontal="left" indent="6"/>
    </xf>
    <xf numFmtId="0" fontId="3" fillId="0" borderId="0" xfId="1"/>
    <xf numFmtId="0" fontId="35" fillId="0" borderId="0" xfId="1" applyFont="1" applyFill="1" applyAlignment="1">
      <alignment vertical="center"/>
    </xf>
    <xf numFmtId="0" fontId="37" fillId="0" borderId="0" xfId="1" applyFont="1" applyFill="1" applyBorder="1" applyAlignment="1">
      <alignment vertical="center"/>
    </xf>
    <xf numFmtId="0" fontId="38" fillId="19" borderId="0" xfId="1" applyFont="1" applyFill="1" applyAlignment="1">
      <alignment vertical="center"/>
    </xf>
    <xf numFmtId="0" fontId="38" fillId="0" borderId="0" xfId="1" applyFont="1" applyFill="1" applyAlignment="1">
      <alignment vertical="center"/>
    </xf>
    <xf numFmtId="0" fontId="39" fillId="0" borderId="0" xfId="1" applyFont="1" applyAlignment="1">
      <alignment horizontal="center"/>
    </xf>
    <xf numFmtId="0" fontId="38" fillId="20" borderId="33" xfId="1" applyFont="1" applyFill="1" applyBorder="1" applyAlignment="1">
      <alignment horizontal="center" vertical="center"/>
    </xf>
    <xf numFmtId="0" fontId="39" fillId="0" borderId="36" xfId="1" applyFont="1" applyBorder="1" applyAlignment="1">
      <alignment vertical="center"/>
    </xf>
    <xf numFmtId="0" fontId="39" fillId="0" borderId="37" xfId="1" applyFont="1" applyBorder="1" applyAlignment="1">
      <alignment vertical="center"/>
    </xf>
    <xf numFmtId="0" fontId="39" fillId="0" borderId="38" xfId="1" applyFont="1" applyBorder="1" applyAlignment="1">
      <alignment vertical="center"/>
    </xf>
    <xf numFmtId="164" fontId="38" fillId="21" borderId="39" xfId="1" applyNumberFormat="1" applyFont="1" applyFill="1" applyBorder="1" applyAlignment="1">
      <alignment horizontal="center" vertical="center"/>
    </xf>
    <xf numFmtId="0" fontId="39" fillId="0" borderId="41" xfId="1" applyFont="1" applyBorder="1" applyAlignment="1">
      <alignment vertical="center"/>
    </xf>
    <xf numFmtId="0" fontId="39" fillId="0" borderId="42" xfId="1" applyFont="1" applyBorder="1" applyAlignment="1">
      <alignment vertical="center"/>
    </xf>
    <xf numFmtId="0" fontId="39" fillId="0" borderId="43" xfId="1" applyFont="1" applyBorder="1" applyAlignment="1">
      <alignment vertical="center"/>
    </xf>
    <xf numFmtId="164" fontId="38" fillId="21" borderId="44" xfId="1" applyNumberFormat="1" applyFont="1" applyFill="1" applyBorder="1" applyAlignment="1">
      <alignment horizontal="center" vertical="center"/>
    </xf>
    <xf numFmtId="164" fontId="40" fillId="22" borderId="34" xfId="1" applyNumberFormat="1" applyFont="1" applyFill="1" applyBorder="1" applyAlignment="1">
      <alignment horizontal="center" vertical="center"/>
    </xf>
    <xf numFmtId="0" fontId="39" fillId="0" borderId="0" xfId="1" applyFont="1" applyAlignment="1">
      <alignment horizontal="left" vertical="center"/>
    </xf>
    <xf numFmtId="0" fontId="39" fillId="19" borderId="0" xfId="1" applyFont="1" applyFill="1" applyAlignment="1">
      <alignment horizontal="center"/>
    </xf>
    <xf numFmtId="0" fontId="40" fillId="0" borderId="0" xfId="1" applyFont="1" applyFill="1" applyBorder="1" applyAlignment="1">
      <alignment horizontal="center" vertical="center"/>
    </xf>
    <xf numFmtId="164" fontId="40" fillId="0" borderId="0" xfId="1" applyNumberFormat="1" applyFont="1" applyFill="1" applyBorder="1" applyAlignment="1">
      <alignment horizontal="center" vertical="center"/>
    </xf>
    <xf numFmtId="0" fontId="3" fillId="0" borderId="0" xfId="1" applyFill="1"/>
    <xf numFmtId="3" fontId="17" fillId="0" borderId="2" xfId="0" applyNumberFormat="1" applyFont="1" applyBorder="1" applyAlignment="1">
      <alignment horizontal="left" indent="2"/>
    </xf>
    <xf numFmtId="0" fontId="8" fillId="0" borderId="2" xfId="0" applyFont="1" applyBorder="1" applyAlignment="1">
      <alignment horizontal="left" vertical="center"/>
    </xf>
    <xf numFmtId="0" fontId="16" fillId="13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3" fontId="8" fillId="17" borderId="2" xfId="0" applyNumberFormat="1" applyFont="1" applyFill="1" applyBorder="1" applyAlignment="1">
      <alignment horizontal="left"/>
    </xf>
    <xf numFmtId="0" fontId="2" fillId="0" borderId="0" xfId="2"/>
    <xf numFmtId="0" fontId="39" fillId="0" borderId="36" xfId="2" applyFont="1" applyBorder="1" applyAlignment="1">
      <alignment vertical="center"/>
    </xf>
    <xf numFmtId="0" fontId="39" fillId="0" borderId="37" xfId="2" applyFont="1" applyBorder="1" applyAlignment="1">
      <alignment vertical="center"/>
    </xf>
    <xf numFmtId="0" fontId="39" fillId="0" borderId="38" xfId="2" applyFont="1" applyBorder="1" applyAlignment="1">
      <alignment vertical="center"/>
    </xf>
    <xf numFmtId="0" fontId="39" fillId="0" borderId="42" xfId="2" applyFont="1" applyBorder="1" applyAlignment="1">
      <alignment vertical="center"/>
    </xf>
    <xf numFmtId="0" fontId="39" fillId="0" borderId="43" xfId="2" applyFont="1" applyBorder="1" applyAlignment="1">
      <alignment vertical="center"/>
    </xf>
    <xf numFmtId="0" fontId="39" fillId="0" borderId="53" xfId="2" applyFont="1" applyBorder="1" applyAlignment="1">
      <alignment vertical="center"/>
    </xf>
    <xf numFmtId="0" fontId="39" fillId="0" borderId="54" xfId="2" applyFont="1" applyBorder="1" applyAlignment="1">
      <alignment vertical="center"/>
    </xf>
    <xf numFmtId="164" fontId="39" fillId="0" borderId="39" xfId="2" applyNumberFormat="1" applyFont="1" applyBorder="1" applyAlignment="1">
      <alignment vertical="center"/>
    </xf>
    <xf numFmtId="164" fontId="45" fillId="22" borderId="55" xfId="2" applyNumberFormat="1" applyFont="1" applyFill="1" applyBorder="1" applyAlignment="1">
      <alignment vertical="center"/>
    </xf>
    <xf numFmtId="0" fontId="38" fillId="24" borderId="58" xfId="2" applyFont="1" applyFill="1" applyBorder="1" applyAlignment="1">
      <alignment vertical="center"/>
    </xf>
    <xf numFmtId="0" fontId="38" fillId="24" borderId="59" xfId="2" applyFont="1" applyFill="1" applyBorder="1" applyAlignment="1">
      <alignment vertical="center"/>
    </xf>
    <xf numFmtId="164" fontId="39" fillId="0" borderId="60" xfId="2" applyNumberFormat="1" applyFont="1" applyBorder="1" applyAlignment="1">
      <alignment vertical="center"/>
    </xf>
    <xf numFmtId="164" fontId="45" fillId="22" borderId="39" xfId="2" applyNumberFormat="1" applyFont="1" applyFill="1" applyBorder="1" applyAlignment="1">
      <alignment vertical="center"/>
    </xf>
    <xf numFmtId="3" fontId="8" fillId="17" borderId="2" xfId="0" applyNumberFormat="1" applyFont="1" applyFill="1" applyBorder="1" applyAlignment="1">
      <alignment horizontal="center" vertical="center"/>
    </xf>
    <xf numFmtId="3" fontId="16" fillId="0" borderId="2" xfId="0" applyNumberFormat="1" applyFont="1" applyBorder="1" applyAlignment="1">
      <alignment horizontal="left" indent="1"/>
    </xf>
    <xf numFmtId="3" fontId="21" fillId="4" borderId="2" xfId="0" applyNumberFormat="1" applyFont="1" applyFill="1" applyBorder="1" applyAlignment="1"/>
    <xf numFmtId="164" fontId="2" fillId="0" borderId="0" xfId="2" applyNumberFormat="1" applyBorder="1" applyAlignment="1">
      <alignment horizontal="center" vertical="center"/>
    </xf>
    <xf numFmtId="0" fontId="2" fillId="0" borderId="0" xfId="2" applyBorder="1"/>
    <xf numFmtId="0" fontId="2" fillId="0" borderId="0" xfId="2" applyFill="1" applyBorder="1" applyAlignment="1">
      <alignment vertical="center"/>
    </xf>
    <xf numFmtId="164" fontId="2" fillId="0" borderId="0" xfId="2" applyNumberFormat="1" applyFill="1" applyBorder="1" applyAlignment="1">
      <alignment vertical="center"/>
    </xf>
    <xf numFmtId="0" fontId="48" fillId="0" borderId="0" xfId="4" applyFont="1" applyAlignment="1"/>
    <xf numFmtId="0" fontId="49" fillId="0" borderId="0" xfId="4" applyFont="1" applyAlignment="1">
      <alignment horizontal="right"/>
    </xf>
    <xf numFmtId="0" fontId="49" fillId="0" borderId="0" xfId="4" applyFont="1" applyAlignment="1"/>
    <xf numFmtId="0" fontId="49" fillId="32" borderId="2" xfId="4" applyFont="1" applyFill="1" applyBorder="1" applyAlignment="1"/>
    <xf numFmtId="0" fontId="49" fillId="32" borderId="2" xfId="4" applyFont="1" applyFill="1" applyBorder="1" applyAlignment="1">
      <alignment horizontal="center"/>
    </xf>
    <xf numFmtId="0" fontId="49" fillId="0" borderId="2" xfId="4" applyFont="1" applyBorder="1" applyAlignment="1"/>
    <xf numFmtId="4" fontId="48" fillId="0" borderId="2" xfId="4" applyNumberFormat="1" applyFont="1" applyBorder="1" applyAlignment="1"/>
    <xf numFmtId="0" fontId="49" fillId="0" borderId="12" xfId="4" applyFont="1" applyBorder="1" applyAlignment="1"/>
    <xf numFmtId="4" fontId="48" fillId="0" borderId="62" xfId="4" applyNumberFormat="1" applyFont="1" applyBorder="1" applyAlignment="1"/>
    <xf numFmtId="0" fontId="49" fillId="0" borderId="0" xfId="4" applyFont="1" applyAlignment="1">
      <alignment horizontal="center"/>
    </xf>
    <xf numFmtId="9" fontId="49" fillId="0" borderId="2" xfId="4" applyNumberFormat="1" applyFont="1" applyBorder="1" applyAlignment="1">
      <alignment horizontal="center"/>
    </xf>
    <xf numFmtId="0" fontId="49" fillId="0" borderId="13" xfId="4" applyFont="1" applyBorder="1" applyAlignment="1"/>
    <xf numFmtId="0" fontId="49" fillId="0" borderId="63" xfId="4" applyFont="1" applyBorder="1" applyAlignment="1"/>
    <xf numFmtId="1" fontId="49" fillId="0" borderId="1" xfId="4" applyNumberFormat="1" applyFont="1" applyBorder="1" applyAlignment="1">
      <alignment horizontal="right"/>
    </xf>
    <xf numFmtId="0" fontId="49" fillId="0" borderId="67" xfId="4" applyFont="1" applyBorder="1" applyAlignment="1"/>
    <xf numFmtId="1" fontId="49" fillId="0" borderId="11" xfId="4" applyNumberFormat="1" applyFont="1" applyBorder="1" applyAlignment="1"/>
    <xf numFmtId="0" fontId="49" fillId="0" borderId="68" xfId="4" applyFont="1" applyBorder="1" applyAlignment="1"/>
    <xf numFmtId="10" fontId="49" fillId="0" borderId="2" xfId="4" applyNumberFormat="1" applyFont="1" applyBorder="1" applyAlignment="1">
      <alignment horizontal="center"/>
    </xf>
    <xf numFmtId="2" fontId="49" fillId="0" borderId="0" xfId="4" applyNumberFormat="1" applyFont="1" applyAlignment="1">
      <alignment horizontal="center"/>
    </xf>
    <xf numFmtId="2" fontId="49" fillId="0" borderId="2" xfId="4" applyNumberFormat="1" applyFont="1" applyBorder="1" applyAlignment="1">
      <alignment horizontal="center"/>
    </xf>
    <xf numFmtId="0" fontId="46" fillId="29" borderId="44" xfId="2" applyFont="1" applyFill="1" applyBorder="1" applyAlignment="1">
      <alignment horizontal="center" vertical="center"/>
    </xf>
    <xf numFmtId="0" fontId="47" fillId="0" borderId="0" xfId="4" applyFont="1" applyAlignment="1"/>
    <xf numFmtId="0" fontId="50" fillId="0" borderId="65" xfId="0" applyFont="1" applyBorder="1" applyAlignment="1">
      <alignment horizontal="left"/>
    </xf>
    <xf numFmtId="0" fontId="51" fillId="0" borderId="65" xfId="0" applyFont="1" applyBorder="1" applyAlignment="1">
      <alignment horizontal="left"/>
    </xf>
    <xf numFmtId="0" fontId="26" fillId="0" borderId="0" xfId="0" applyFont="1"/>
    <xf numFmtId="0" fontId="52" fillId="0" borderId="0" xfId="0" applyFont="1" applyBorder="1"/>
    <xf numFmtId="0" fontId="51" fillId="0" borderId="0" xfId="0" applyFont="1" applyBorder="1" applyAlignment="1">
      <alignment horizontal="left"/>
    </xf>
    <xf numFmtId="0" fontId="52" fillId="0" borderId="0" xfId="0" applyFont="1" applyFill="1" applyBorder="1"/>
    <xf numFmtId="0" fontId="19" fillId="0" borderId="17" xfId="0" applyFont="1" applyBorder="1" applyAlignment="1">
      <alignment vertical="center" wrapText="1"/>
    </xf>
    <xf numFmtId="0" fontId="53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indent="5"/>
    </xf>
    <xf numFmtId="0" fontId="54" fillId="0" borderId="0" xfId="0" applyFont="1" applyAlignment="1">
      <alignment horizontal="left" vertical="center" indent="5"/>
    </xf>
    <xf numFmtId="0" fontId="26" fillId="0" borderId="0" xfId="0" applyFont="1" applyAlignment="1">
      <alignment horizontal="left" vertical="center" indent="2"/>
    </xf>
    <xf numFmtId="0" fontId="55" fillId="0" borderId="0" xfId="0" applyFont="1" applyAlignment="1">
      <alignment horizontal="left" vertical="center" indent="5"/>
    </xf>
    <xf numFmtId="0" fontId="26" fillId="0" borderId="0" xfId="0" applyFont="1" applyAlignment="1"/>
    <xf numFmtId="0" fontId="26" fillId="0" borderId="0" xfId="0" applyFont="1" applyAlignment="1">
      <alignment horizontal="left" vertical="top" indent="5"/>
    </xf>
    <xf numFmtId="0" fontId="26" fillId="0" borderId="0" xfId="0" applyFont="1" applyAlignment="1">
      <alignment horizontal="left" vertical="top"/>
    </xf>
    <xf numFmtId="0" fontId="30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0" fontId="58" fillId="0" borderId="0" xfId="0" applyFont="1" applyAlignment="1">
      <alignment horizontal="left" vertical="top"/>
    </xf>
    <xf numFmtId="0" fontId="13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1" fillId="13" borderId="0" xfId="0" applyFont="1" applyFill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3" fontId="17" fillId="0" borderId="12" xfId="0" applyNumberFormat="1" applyFont="1" applyBorder="1" applyAlignment="1">
      <alignment horizontal="left"/>
    </xf>
    <xf numFmtId="3" fontId="8" fillId="15" borderId="24" xfId="0" applyNumberFormat="1" applyFont="1" applyFill="1" applyBorder="1" applyAlignment="1">
      <alignment horizontal="center" vertical="center"/>
    </xf>
    <xf numFmtId="3" fontId="8" fillId="0" borderId="13" xfId="0" applyNumberFormat="1" applyFont="1" applyBorder="1" applyAlignment="1">
      <alignment horizontal="left"/>
    </xf>
    <xf numFmtId="3" fontId="8" fillId="0" borderId="10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left" vertical="center"/>
    </xf>
    <xf numFmtId="3" fontId="8" fillId="4" borderId="2" xfId="0" applyNumberFormat="1" applyFont="1" applyFill="1" applyBorder="1" applyAlignment="1">
      <alignment horizontal="left" vertical="center"/>
    </xf>
    <xf numFmtId="3" fontId="8" fillId="4" borderId="2" xfId="0" applyNumberFormat="1" applyFont="1" applyFill="1" applyBorder="1" applyAlignment="1">
      <alignment horizontal="center" vertical="center"/>
    </xf>
    <xf numFmtId="3" fontId="8" fillId="4" borderId="9" xfId="0" applyNumberFormat="1" applyFont="1" applyFill="1" applyBorder="1" applyAlignment="1">
      <alignment horizontal="center" vertical="center"/>
    </xf>
    <xf numFmtId="0" fontId="17" fillId="13" borderId="0" xfId="0" applyFont="1" applyFill="1"/>
    <xf numFmtId="0" fontId="8" fillId="0" borderId="6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7" fillId="0" borderId="55" xfId="0" applyFont="1" applyBorder="1" applyAlignment="1">
      <alignment horizontal="left"/>
    </xf>
    <xf numFmtId="3" fontId="17" fillId="0" borderId="62" xfId="0" applyNumberFormat="1" applyFont="1" applyBorder="1" applyAlignment="1">
      <alignment horizontal="center" vertical="center"/>
    </xf>
    <xf numFmtId="0" fontId="8" fillId="0" borderId="55" xfId="0" applyFont="1" applyBorder="1" applyAlignment="1">
      <alignment horizontal="left"/>
    </xf>
    <xf numFmtId="3" fontId="8" fillId="0" borderId="63" xfId="0" applyNumberFormat="1" applyFont="1" applyBorder="1" applyAlignment="1">
      <alignment horizontal="center" vertical="center"/>
    </xf>
    <xf numFmtId="0" fontId="8" fillId="0" borderId="55" xfId="0" applyFont="1" applyBorder="1" applyAlignment="1">
      <alignment horizontal="left" vertical="center"/>
    </xf>
    <xf numFmtId="3" fontId="8" fillId="0" borderId="62" xfId="0" applyNumberFormat="1" applyFont="1" applyBorder="1" applyAlignment="1">
      <alignment horizontal="center" vertical="center"/>
    </xf>
    <xf numFmtId="3" fontId="8" fillId="4" borderId="62" xfId="0" applyNumberFormat="1" applyFont="1" applyFill="1" applyBorder="1" applyAlignment="1">
      <alignment horizontal="center" vertical="center"/>
    </xf>
    <xf numFmtId="3" fontId="8" fillId="15" borderId="70" xfId="0" applyNumberFormat="1" applyFont="1" applyFill="1" applyBorder="1" applyAlignment="1">
      <alignment horizontal="center" vertical="center"/>
    </xf>
    <xf numFmtId="3" fontId="8" fillId="15" borderId="71" xfId="0" applyNumberFormat="1" applyFont="1" applyFill="1" applyBorder="1" applyAlignment="1">
      <alignment horizontal="center" vertical="center"/>
    </xf>
    <xf numFmtId="3" fontId="8" fillId="15" borderId="0" xfId="0" applyNumberFormat="1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/>
    </xf>
    <xf numFmtId="3" fontId="8" fillId="15" borderId="69" xfId="0" applyNumberFormat="1" applyFont="1" applyFill="1" applyBorder="1" applyAlignment="1">
      <alignment horizontal="center" vertical="center"/>
    </xf>
    <xf numFmtId="3" fontId="8" fillId="0" borderId="72" xfId="0" applyNumberFormat="1" applyFont="1" applyBorder="1" applyAlignment="1">
      <alignment horizontal="center" vertical="center"/>
    </xf>
    <xf numFmtId="3" fontId="8" fillId="0" borderId="73" xfId="0" applyNumberFormat="1" applyFont="1" applyBorder="1" applyAlignment="1">
      <alignment horizontal="center" vertical="center"/>
    </xf>
    <xf numFmtId="3" fontId="8" fillId="0" borderId="74" xfId="0" applyNumberFormat="1" applyFont="1" applyBorder="1" applyAlignment="1">
      <alignment horizontal="center" vertical="center"/>
    </xf>
    <xf numFmtId="3" fontId="8" fillId="4" borderId="75" xfId="0" applyNumberFormat="1" applyFont="1" applyFill="1" applyBorder="1" applyAlignment="1">
      <alignment horizontal="center" vertical="center"/>
    </xf>
    <xf numFmtId="0" fontId="8" fillId="0" borderId="6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3" fontId="8" fillId="0" borderId="55" xfId="0" applyNumberFormat="1" applyFont="1" applyBorder="1" applyAlignment="1">
      <alignment horizontal="center" vertical="center"/>
    </xf>
    <xf numFmtId="3" fontId="8" fillId="15" borderId="55" xfId="0" applyNumberFormat="1" applyFont="1" applyFill="1" applyBorder="1" applyAlignment="1">
      <alignment horizontal="center" vertical="center"/>
    </xf>
    <xf numFmtId="0" fontId="8" fillId="0" borderId="78" xfId="0" applyFont="1" applyBorder="1" applyAlignment="1">
      <alignment horizontal="left"/>
    </xf>
    <xf numFmtId="3" fontId="8" fillId="15" borderId="29" xfId="0" applyNumberFormat="1" applyFont="1" applyFill="1" applyBorder="1" applyAlignment="1">
      <alignment horizontal="center" vertical="center"/>
    </xf>
    <xf numFmtId="0" fontId="17" fillId="0" borderId="80" xfId="0" applyFont="1" applyBorder="1" applyAlignment="1">
      <alignment horizontal="left"/>
    </xf>
    <xf numFmtId="3" fontId="17" fillId="0" borderId="68" xfId="0" applyNumberFormat="1" applyFont="1" applyBorder="1" applyAlignment="1">
      <alignment horizontal="center" vertical="center"/>
    </xf>
    <xf numFmtId="0" fontId="8" fillId="0" borderId="66" xfId="0" applyFont="1" applyBorder="1" applyAlignment="1">
      <alignment vertical="center"/>
    </xf>
    <xf numFmtId="0" fontId="8" fillId="0" borderId="81" xfId="0" applyFont="1" applyBorder="1" applyAlignment="1">
      <alignment horizontal="center"/>
    </xf>
    <xf numFmtId="0" fontId="14" fillId="14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0" fontId="21" fillId="13" borderId="0" xfId="0" applyFont="1" applyFill="1" applyAlignment="1">
      <alignment horizontal="center"/>
    </xf>
    <xf numFmtId="0" fontId="16" fillId="14" borderId="2" xfId="0" applyFont="1" applyFill="1" applyBorder="1" applyAlignment="1">
      <alignment horizontal="center" vertical="center"/>
    </xf>
    <xf numFmtId="0" fontId="11" fillId="4" borderId="22" xfId="0" applyFont="1" applyFill="1" applyBorder="1" applyAlignment="1"/>
    <xf numFmtId="0" fontId="14" fillId="4" borderId="2" xfId="0" applyFont="1" applyFill="1" applyBorder="1" applyAlignment="1">
      <alignment vertical="center"/>
    </xf>
    <xf numFmtId="3" fontId="11" fillId="34" borderId="2" xfId="0" applyNumberFormat="1" applyFont="1" applyFill="1" applyBorder="1" applyAlignment="1">
      <alignment horizontal="center" vertical="center"/>
    </xf>
    <xf numFmtId="0" fontId="21" fillId="35" borderId="0" xfId="0" applyFont="1" applyFill="1"/>
    <xf numFmtId="0" fontId="0" fillId="33" borderId="0" xfId="0" applyFill="1"/>
    <xf numFmtId="0" fontId="11" fillId="17" borderId="2" xfId="0" applyFont="1" applyFill="1" applyBorder="1" applyAlignment="1">
      <alignment vertical="center"/>
    </xf>
    <xf numFmtId="3" fontId="11" fillId="17" borderId="2" xfId="0" applyNumberFormat="1" applyFont="1" applyFill="1" applyBorder="1" applyAlignment="1">
      <alignment vertical="center"/>
    </xf>
    <xf numFmtId="3" fontId="21" fillId="0" borderId="2" xfId="0" applyNumberFormat="1" applyFont="1" applyBorder="1" applyAlignment="1">
      <alignment vertical="top"/>
    </xf>
    <xf numFmtId="0" fontId="14" fillId="0" borderId="0" xfId="0" applyFont="1"/>
    <xf numFmtId="0" fontId="11" fillId="0" borderId="0" xfId="0" applyFont="1"/>
    <xf numFmtId="3" fontId="20" fillId="0" borderId="0" xfId="0" applyNumberFormat="1" applyFont="1" applyAlignment="1">
      <alignment horizontal="center" vertical="center"/>
    </xf>
    <xf numFmtId="3" fontId="11" fillId="10" borderId="62" xfId="0" applyNumberFormat="1" applyFont="1" applyFill="1" applyBorder="1" applyAlignment="1">
      <alignment horizontal="center" vertical="center"/>
    </xf>
    <xf numFmtId="3" fontId="20" fillId="0" borderId="10" xfId="0" applyNumberFormat="1" applyFont="1" applyBorder="1" applyAlignment="1">
      <alignment horizontal="center"/>
    </xf>
    <xf numFmtId="3" fontId="20" fillId="0" borderId="55" xfId="0" applyNumberFormat="1" applyFont="1" applyBorder="1" applyAlignment="1">
      <alignment horizontal="center" vertical="center"/>
    </xf>
    <xf numFmtId="0" fontId="46" fillId="29" borderId="55" xfId="2" applyFont="1" applyFill="1" applyBorder="1" applyAlignment="1">
      <alignment horizontal="center" vertical="center"/>
    </xf>
    <xf numFmtId="0" fontId="49" fillId="32" borderId="12" xfId="4" applyFont="1" applyFill="1" applyBorder="1" applyAlignment="1">
      <alignment horizontal="center"/>
    </xf>
    <xf numFmtId="4" fontId="48" fillId="0" borderId="12" xfId="4" applyNumberFormat="1" applyFont="1" applyBorder="1" applyAlignment="1"/>
    <xf numFmtId="165" fontId="49" fillId="0" borderId="2" xfId="4" applyNumberFormat="1" applyFont="1" applyBorder="1" applyAlignment="1">
      <alignment horizontal="center"/>
    </xf>
    <xf numFmtId="0" fontId="1" fillId="0" borderId="0" xfId="5"/>
    <xf numFmtId="0" fontId="38" fillId="20" borderId="55" xfId="5" applyFont="1" applyFill="1" applyBorder="1" applyAlignment="1">
      <alignment horizontal="center" vertical="center"/>
    </xf>
    <xf numFmtId="3" fontId="1" fillId="0" borderId="55" xfId="5" applyNumberFormat="1" applyBorder="1" applyAlignment="1">
      <alignment horizontal="center"/>
    </xf>
    <xf numFmtId="3" fontId="1" fillId="22" borderId="55" xfId="5" applyNumberFormat="1" applyFill="1" applyBorder="1" applyAlignment="1">
      <alignment horizontal="center" vertical="center"/>
    </xf>
    <xf numFmtId="3" fontId="1" fillId="0" borderId="55" xfId="5" applyNumberFormat="1" applyBorder="1" applyAlignment="1">
      <alignment horizontal="center" vertical="center"/>
    </xf>
    <xf numFmtId="0" fontId="1" fillId="0" borderId="55" xfId="5" applyBorder="1" applyAlignment="1">
      <alignment horizontal="center" vertical="center"/>
    </xf>
    <xf numFmtId="3" fontId="43" fillId="38" borderId="55" xfId="5" applyNumberFormat="1" applyFont="1" applyFill="1" applyBorder="1" applyAlignment="1">
      <alignment horizontal="center" vertical="center"/>
    </xf>
    <xf numFmtId="3" fontId="21" fillId="0" borderId="55" xfId="0" applyNumberFormat="1" applyFont="1" applyBorder="1" applyAlignment="1">
      <alignment horizontal="center" vertical="center"/>
    </xf>
    <xf numFmtId="9" fontId="49" fillId="0" borderId="0" xfId="4" applyNumberFormat="1" applyFont="1" applyAlignment="1">
      <alignment horizontal="center"/>
    </xf>
    <xf numFmtId="0" fontId="49" fillId="23" borderId="55" xfId="4" applyFont="1" applyFill="1" applyBorder="1" applyAlignment="1">
      <alignment horizontal="center" vertical="center"/>
    </xf>
    <xf numFmtId="4" fontId="48" fillId="0" borderId="55" xfId="4" applyNumberFormat="1" applyFont="1" applyBorder="1" applyAlignment="1"/>
    <xf numFmtId="3" fontId="48" fillId="0" borderId="55" xfId="4" applyNumberFormat="1" applyFont="1" applyBorder="1" applyAlignment="1">
      <alignment horizontal="center" vertical="center"/>
    </xf>
    <xf numFmtId="9" fontId="49" fillId="40" borderId="0" xfId="4" applyNumberFormat="1" applyFont="1" applyFill="1" applyAlignment="1">
      <alignment horizontal="center"/>
    </xf>
    <xf numFmtId="0" fontId="14" fillId="0" borderId="55" xfId="0" applyFont="1" applyBorder="1" applyAlignment="1">
      <alignment horizontal="center" vertical="center"/>
    </xf>
    <xf numFmtId="3" fontId="0" fillId="0" borderId="55" xfId="0" applyNumberFormat="1" applyBorder="1" applyAlignment="1">
      <alignment horizontal="center" vertical="center"/>
    </xf>
    <xf numFmtId="0" fontId="14" fillId="44" borderId="55" xfId="0" applyFont="1" applyFill="1" applyBorder="1"/>
    <xf numFmtId="3" fontId="14" fillId="44" borderId="55" xfId="0" applyNumberFormat="1" applyFont="1" applyFill="1" applyBorder="1" applyAlignment="1">
      <alignment horizontal="center" vertical="center"/>
    </xf>
    <xf numFmtId="3" fontId="14" fillId="43" borderId="55" xfId="0" applyNumberFormat="1" applyFont="1" applyFill="1" applyBorder="1" applyAlignment="1">
      <alignment horizontal="center" vertical="center"/>
    </xf>
    <xf numFmtId="0" fontId="0" fillId="0" borderId="55" xfId="0" applyBorder="1" applyAlignment="1">
      <alignment horizontal="left" vertical="top"/>
    </xf>
    <xf numFmtId="0" fontId="14" fillId="43" borderId="55" xfId="0" applyFont="1" applyFill="1" applyBorder="1" applyAlignment="1">
      <alignment horizontal="left" vertical="top"/>
    </xf>
    <xf numFmtId="0" fontId="16" fillId="0" borderId="55" xfId="0" applyFont="1" applyBorder="1" applyAlignment="1">
      <alignment horizontal="left"/>
    </xf>
    <xf numFmtId="0" fontId="16" fillId="0" borderId="55" xfId="0" applyFont="1" applyBorder="1"/>
    <xf numFmtId="3" fontId="14" fillId="22" borderId="55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1" fillId="9" borderId="2" xfId="0" applyFont="1" applyFill="1" applyBorder="1" applyAlignment="1">
      <alignment horizontal="center"/>
    </xf>
    <xf numFmtId="0" fontId="12" fillId="10" borderId="2" xfId="0" applyFont="1" applyFill="1" applyBorder="1" applyAlignment="1">
      <alignment horizontal="center" vertical="center"/>
    </xf>
    <xf numFmtId="0" fontId="0" fillId="10" borderId="2" xfId="0" applyFill="1" applyBorder="1"/>
    <xf numFmtId="0" fontId="13" fillId="3" borderId="1" xfId="0" applyFont="1" applyFill="1" applyBorder="1" applyAlignment="1">
      <alignment horizontal="center" vertical="center"/>
    </xf>
    <xf numFmtId="3" fontId="12" fillId="10" borderId="2" xfId="0" applyNumberFormat="1" applyFont="1" applyFill="1" applyBorder="1" applyAlignment="1">
      <alignment horizontal="center" vertical="center"/>
    </xf>
    <xf numFmtId="10" fontId="12" fillId="10" borderId="2" xfId="0" applyNumberFormat="1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14" fillId="7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4" fillId="26" borderId="3" xfId="0" applyFont="1" applyFill="1" applyBorder="1" applyAlignment="1">
      <alignment horizontal="center" vertical="center"/>
    </xf>
    <xf numFmtId="0" fontId="19" fillId="27" borderId="3" xfId="0" applyFont="1" applyFill="1" applyBorder="1" applyAlignment="1">
      <alignment horizontal="center" vertical="center"/>
    </xf>
    <xf numFmtId="0" fontId="14" fillId="28" borderId="3" xfId="0" applyFont="1" applyFill="1" applyBorder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20" fillId="0" borderId="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/>
    </xf>
    <xf numFmtId="0" fontId="20" fillId="0" borderId="6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left" indent="6"/>
    </xf>
    <xf numFmtId="3" fontId="11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56" fillId="33" borderId="0" xfId="0" applyFont="1" applyFill="1" applyBorder="1" applyAlignment="1">
      <alignment horizontal="left" vertical="center"/>
    </xf>
    <xf numFmtId="0" fontId="51" fillId="0" borderId="65" xfId="0" applyFont="1" applyBorder="1" applyAlignment="1">
      <alignment horizontal="left"/>
    </xf>
    <xf numFmtId="0" fontId="51" fillId="0" borderId="0" xfId="0" applyFont="1" applyBorder="1" applyAlignment="1">
      <alignment horizontal="left"/>
    </xf>
    <xf numFmtId="0" fontId="34" fillId="18" borderId="0" xfId="1" applyFont="1" applyFill="1" applyAlignment="1">
      <alignment horizontal="center" vertical="center"/>
    </xf>
    <xf numFmtId="0" fontId="36" fillId="19" borderId="0" xfId="1" applyFont="1" applyFill="1" applyBorder="1" applyAlignment="1">
      <alignment horizontal="center" vertical="center"/>
    </xf>
    <xf numFmtId="0" fontId="38" fillId="20" borderId="30" xfId="1" applyFont="1" applyFill="1" applyBorder="1" applyAlignment="1">
      <alignment horizontal="center" vertical="center"/>
    </xf>
    <xf numFmtId="0" fontId="38" fillId="20" borderId="31" xfId="1" applyFont="1" applyFill="1" applyBorder="1" applyAlignment="1">
      <alignment horizontal="center" vertical="center"/>
    </xf>
    <xf numFmtId="0" fontId="38" fillId="20" borderId="32" xfId="1" applyFont="1" applyFill="1" applyBorder="1" applyAlignment="1">
      <alignment horizontal="center" vertical="center"/>
    </xf>
    <xf numFmtId="0" fontId="38" fillId="20" borderId="33" xfId="1" applyFont="1" applyFill="1" applyBorder="1" applyAlignment="1">
      <alignment horizontal="center" vertical="center"/>
    </xf>
    <xf numFmtId="0" fontId="38" fillId="20" borderId="34" xfId="1" applyFont="1" applyFill="1" applyBorder="1" applyAlignment="1">
      <alignment horizontal="center" vertical="center"/>
    </xf>
    <xf numFmtId="0" fontId="38" fillId="20" borderId="35" xfId="1" applyFont="1" applyFill="1" applyBorder="1" applyAlignment="1">
      <alignment horizontal="center" vertical="center"/>
    </xf>
    <xf numFmtId="164" fontId="39" fillId="0" borderId="39" xfId="1" applyNumberFormat="1" applyFont="1" applyBorder="1" applyAlignment="1">
      <alignment horizontal="center" vertical="center"/>
    </xf>
    <xf numFmtId="164" fontId="39" fillId="0" borderId="38" xfId="1" applyNumberFormat="1" applyFont="1" applyBorder="1" applyAlignment="1">
      <alignment horizontal="center" vertical="center"/>
    </xf>
    <xf numFmtId="164" fontId="39" fillId="0" borderId="40" xfId="1" applyNumberFormat="1" applyFont="1" applyBorder="1" applyAlignment="1">
      <alignment horizontal="center" vertical="center"/>
    </xf>
    <xf numFmtId="164" fontId="39" fillId="0" borderId="44" xfId="1" applyNumberFormat="1" applyFont="1" applyBorder="1" applyAlignment="1">
      <alignment horizontal="center" vertical="center"/>
    </xf>
    <xf numFmtId="164" fontId="39" fillId="0" borderId="43" xfId="1" applyNumberFormat="1" applyFont="1" applyBorder="1" applyAlignment="1">
      <alignment horizontal="center" vertical="center"/>
    </xf>
    <xf numFmtId="164" fontId="39" fillId="0" borderId="45" xfId="1" applyNumberFormat="1" applyFont="1" applyBorder="1" applyAlignment="1">
      <alignment horizontal="center" vertical="center"/>
    </xf>
    <xf numFmtId="0" fontId="39" fillId="0" borderId="41" xfId="1" applyFont="1" applyBorder="1" applyAlignment="1">
      <alignment horizontal="left" vertical="center"/>
    </xf>
    <xf numFmtId="0" fontId="39" fillId="0" borderId="42" xfId="1" applyFont="1" applyBorder="1" applyAlignment="1">
      <alignment horizontal="left" vertical="center"/>
    </xf>
    <xf numFmtId="0" fontId="39" fillId="0" borderId="43" xfId="1" applyFont="1" applyBorder="1" applyAlignment="1">
      <alignment horizontal="left" vertical="center"/>
    </xf>
    <xf numFmtId="0" fontId="40" fillId="22" borderId="30" xfId="1" applyFont="1" applyFill="1" applyBorder="1" applyAlignment="1">
      <alignment horizontal="center" vertical="center"/>
    </xf>
    <xf numFmtId="0" fontId="40" fillId="22" borderId="31" xfId="1" applyFont="1" applyFill="1" applyBorder="1" applyAlignment="1">
      <alignment horizontal="center" vertical="center"/>
    </xf>
    <xf numFmtId="0" fontId="40" fillId="22" borderId="32" xfId="1" applyFont="1" applyFill="1" applyBorder="1" applyAlignment="1">
      <alignment horizontal="center" vertical="center"/>
    </xf>
    <xf numFmtId="164" fontId="40" fillId="22" borderId="34" xfId="1" applyNumberFormat="1" applyFont="1" applyFill="1" applyBorder="1" applyAlignment="1">
      <alignment horizontal="center" vertical="center"/>
    </xf>
    <xf numFmtId="164" fontId="40" fillId="22" borderId="32" xfId="1" applyNumberFormat="1" applyFont="1" applyFill="1" applyBorder="1" applyAlignment="1">
      <alignment horizontal="center" vertical="center"/>
    </xf>
    <xf numFmtId="0" fontId="39" fillId="0" borderId="36" xfId="1" applyFont="1" applyBorder="1" applyAlignment="1">
      <alignment horizontal="left" vertical="center"/>
    </xf>
    <xf numFmtId="0" fontId="39" fillId="0" borderId="37" xfId="1" applyFont="1" applyBorder="1" applyAlignment="1">
      <alignment horizontal="left" vertical="center"/>
    </xf>
    <xf numFmtId="0" fontId="39" fillId="0" borderId="38" xfId="1" applyFont="1" applyBorder="1" applyAlignment="1">
      <alignment horizontal="left" vertical="center"/>
    </xf>
    <xf numFmtId="164" fontId="40" fillId="22" borderId="46" xfId="1" applyNumberFormat="1" applyFont="1" applyFill="1" applyBorder="1" applyAlignment="1">
      <alignment horizontal="center" vertical="center"/>
    </xf>
    <xf numFmtId="0" fontId="41" fillId="20" borderId="47" xfId="1" applyFont="1" applyFill="1" applyBorder="1" applyAlignment="1">
      <alignment horizontal="center" vertical="center"/>
    </xf>
    <xf numFmtId="0" fontId="41" fillId="20" borderId="48" xfId="1" applyFont="1" applyFill="1" applyBorder="1" applyAlignment="1">
      <alignment horizontal="center" vertical="center"/>
    </xf>
    <xf numFmtId="0" fontId="41" fillId="20" borderId="50" xfId="1" applyFont="1" applyFill="1" applyBorder="1" applyAlignment="1">
      <alignment horizontal="center" vertical="center"/>
    </xf>
    <xf numFmtId="0" fontId="41" fillId="20" borderId="51" xfId="1" applyFont="1" applyFill="1" applyBorder="1" applyAlignment="1">
      <alignment horizontal="center" vertical="center"/>
    </xf>
    <xf numFmtId="3" fontId="42" fillId="20" borderId="48" xfId="1" applyNumberFormat="1" applyFont="1" applyFill="1" applyBorder="1" applyAlignment="1">
      <alignment horizontal="center" vertical="center"/>
    </xf>
    <xf numFmtId="3" fontId="42" fillId="20" borderId="49" xfId="1" applyNumberFormat="1" applyFont="1" applyFill="1" applyBorder="1" applyAlignment="1">
      <alignment horizontal="center" vertical="center"/>
    </xf>
    <xf numFmtId="3" fontId="42" fillId="20" borderId="51" xfId="1" applyNumberFormat="1" applyFont="1" applyFill="1" applyBorder="1" applyAlignment="1">
      <alignment horizontal="center" vertical="center"/>
    </xf>
    <xf numFmtId="3" fontId="42" fillId="20" borderId="52" xfId="1" applyNumberFormat="1" applyFont="1" applyFill="1" applyBorder="1" applyAlignment="1">
      <alignment horizontal="center" vertical="center"/>
    </xf>
    <xf numFmtId="0" fontId="36" fillId="19" borderId="0" xfId="2" applyFont="1" applyFill="1" applyBorder="1" applyAlignment="1">
      <alignment horizontal="center" vertical="center"/>
    </xf>
    <xf numFmtId="0" fontId="44" fillId="23" borderId="30" xfId="2" applyFont="1" applyFill="1" applyBorder="1" applyAlignment="1">
      <alignment horizontal="center" vertical="center"/>
    </xf>
    <xf numFmtId="0" fontId="44" fillId="23" borderId="31" xfId="2" applyFont="1" applyFill="1" applyBorder="1" applyAlignment="1">
      <alignment horizontal="center" vertical="center"/>
    </xf>
    <xf numFmtId="0" fontId="44" fillId="23" borderId="56" xfId="2" applyFont="1" applyFill="1" applyBorder="1" applyAlignment="1">
      <alignment horizontal="center" vertical="center"/>
    </xf>
    <xf numFmtId="0" fontId="44" fillId="23" borderId="57" xfId="2" applyFont="1" applyFill="1" applyBorder="1" applyAlignment="1">
      <alignment horizontal="center" vertical="center"/>
    </xf>
    <xf numFmtId="0" fontId="38" fillId="24" borderId="30" xfId="2" applyFont="1" applyFill="1" applyBorder="1" applyAlignment="1">
      <alignment horizontal="center" vertical="center"/>
    </xf>
    <xf numFmtId="0" fontId="38" fillId="24" borderId="31" xfId="2" applyFont="1" applyFill="1" applyBorder="1" applyAlignment="1">
      <alignment horizontal="center" vertical="center"/>
    </xf>
    <xf numFmtId="0" fontId="38" fillId="24" borderId="32" xfId="2" applyFont="1" applyFill="1" applyBorder="1" applyAlignment="1">
      <alignment horizontal="center" vertical="center"/>
    </xf>
    <xf numFmtId="0" fontId="38" fillId="24" borderId="58" xfId="2" applyFont="1" applyFill="1" applyBorder="1" applyAlignment="1">
      <alignment horizontal="center" vertical="center"/>
    </xf>
    <xf numFmtId="0" fontId="38" fillId="24" borderId="54" xfId="2" applyFont="1" applyFill="1" applyBorder="1" applyAlignment="1">
      <alignment horizontal="center" vertical="center"/>
    </xf>
    <xf numFmtId="164" fontId="38" fillId="25" borderId="39" xfId="2" applyNumberFormat="1" applyFont="1" applyFill="1" applyBorder="1" applyAlignment="1">
      <alignment horizontal="center" vertical="center"/>
    </xf>
    <xf numFmtId="164" fontId="38" fillId="25" borderId="38" xfId="2" applyNumberFormat="1" applyFont="1" applyFill="1" applyBorder="1" applyAlignment="1">
      <alignment horizontal="center" vertical="center"/>
    </xf>
    <xf numFmtId="164" fontId="39" fillId="0" borderId="39" xfId="2" applyNumberFormat="1" applyFont="1" applyBorder="1" applyAlignment="1">
      <alignment horizontal="center" vertical="center"/>
    </xf>
    <xf numFmtId="164" fontId="39" fillId="0" borderId="38" xfId="2" applyNumberFormat="1" applyFont="1" applyBorder="1" applyAlignment="1">
      <alignment horizontal="center" vertical="center"/>
    </xf>
    <xf numFmtId="0" fontId="45" fillId="22" borderId="30" xfId="2" applyFont="1" applyFill="1" applyBorder="1" applyAlignment="1">
      <alignment horizontal="center" vertical="center"/>
    </xf>
    <xf numFmtId="0" fontId="45" fillId="22" borderId="31" xfId="2" applyFont="1" applyFill="1" applyBorder="1" applyAlignment="1">
      <alignment horizontal="center" vertical="center"/>
    </xf>
    <xf numFmtId="0" fontId="45" fillId="22" borderId="32" xfId="2" applyFont="1" applyFill="1" applyBorder="1" applyAlignment="1">
      <alignment horizontal="center" vertical="center"/>
    </xf>
    <xf numFmtId="164" fontId="45" fillId="22" borderId="39" xfId="2" applyNumberFormat="1" applyFont="1" applyFill="1" applyBorder="1" applyAlignment="1">
      <alignment horizontal="center" vertical="center"/>
    </xf>
    <xf numFmtId="164" fontId="45" fillId="22" borderId="38" xfId="2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1" fillId="13" borderId="0" xfId="0" applyFont="1" applyFill="1" applyAlignment="1">
      <alignment horizontal="center"/>
    </xf>
    <xf numFmtId="0" fontId="11" fillId="4" borderId="11" xfId="0" applyFont="1" applyFill="1" applyBorder="1" applyAlignment="1">
      <alignment horizontal="left"/>
    </xf>
    <xf numFmtId="0" fontId="11" fillId="4" borderId="4" xfId="0" applyFont="1" applyFill="1" applyBorder="1" applyAlignment="1">
      <alignment horizontal="left"/>
    </xf>
    <xf numFmtId="0" fontId="11" fillId="4" borderId="28" xfId="0" applyFont="1" applyFill="1" applyBorder="1" applyAlignment="1">
      <alignment horizontal="left"/>
    </xf>
    <xf numFmtId="3" fontId="11" fillId="4" borderId="12" xfId="0" applyNumberFormat="1" applyFont="1" applyFill="1" applyBorder="1" applyAlignment="1">
      <alignment horizontal="center"/>
    </xf>
    <xf numFmtId="3" fontId="11" fillId="4" borderId="3" xfId="0" applyNumberFormat="1" applyFont="1" applyFill="1" applyBorder="1" applyAlignment="1">
      <alignment horizontal="center"/>
    </xf>
    <xf numFmtId="3" fontId="11" fillId="4" borderId="29" xfId="0" applyNumberFormat="1" applyFont="1" applyFill="1" applyBorder="1" applyAlignment="1">
      <alignment horizontal="center"/>
    </xf>
    <xf numFmtId="3" fontId="11" fillId="4" borderId="12" xfId="0" applyNumberFormat="1" applyFont="1" applyFill="1" applyBorder="1" applyAlignment="1">
      <alignment horizontal="center" vertical="center"/>
    </xf>
    <xf numFmtId="3" fontId="11" fillId="4" borderId="3" xfId="0" applyNumberFormat="1" applyFont="1" applyFill="1" applyBorder="1" applyAlignment="1">
      <alignment horizontal="center" vertical="center"/>
    </xf>
    <xf numFmtId="3" fontId="11" fillId="4" borderId="2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13" borderId="0" xfId="0" applyFont="1" applyFill="1" applyAlignment="1">
      <alignment horizontal="center"/>
    </xf>
    <xf numFmtId="0" fontId="8" fillId="4" borderId="61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62" xfId="0" applyFont="1" applyFill="1" applyBorder="1" applyAlignment="1">
      <alignment horizontal="left"/>
    </xf>
    <xf numFmtId="0" fontId="0" fillId="0" borderId="22" xfId="0" applyFill="1" applyBorder="1"/>
    <xf numFmtId="3" fontId="11" fillId="4" borderId="61" xfId="0" applyNumberFormat="1" applyFont="1" applyFill="1" applyBorder="1" applyAlignment="1">
      <alignment horizontal="left" vertical="center"/>
    </xf>
    <xf numFmtId="3" fontId="11" fillId="4" borderId="3" xfId="0" applyNumberFormat="1" applyFont="1" applyFill="1" applyBorder="1" applyAlignment="1">
      <alignment horizontal="left" vertical="center"/>
    </xf>
    <xf numFmtId="3" fontId="11" fillId="4" borderId="62" xfId="0" applyNumberFormat="1" applyFont="1" applyFill="1" applyBorder="1" applyAlignment="1">
      <alignment horizontal="left" vertical="center"/>
    </xf>
    <xf numFmtId="0" fontId="8" fillId="4" borderId="11" xfId="0" applyFont="1" applyFill="1" applyBorder="1" applyAlignment="1"/>
    <xf numFmtId="0" fontId="8" fillId="4" borderId="4" xfId="0" applyFont="1" applyFill="1" applyBorder="1" applyAlignment="1"/>
    <xf numFmtId="0" fontId="8" fillId="4" borderId="28" xfId="0" applyFont="1" applyFill="1" applyBorder="1" applyAlignment="1"/>
    <xf numFmtId="3" fontId="8" fillId="4" borderId="12" xfId="0" applyNumberFormat="1" applyFont="1" applyFill="1" applyBorder="1" applyAlignment="1">
      <alignment horizontal="center"/>
    </xf>
    <xf numFmtId="3" fontId="8" fillId="4" borderId="3" xfId="0" applyNumberFormat="1" applyFont="1" applyFill="1" applyBorder="1" applyAlignment="1">
      <alignment horizontal="center"/>
    </xf>
    <xf numFmtId="3" fontId="8" fillId="4" borderId="62" xfId="0" applyNumberFormat="1" applyFont="1" applyFill="1" applyBorder="1" applyAlignment="1">
      <alignment horizontal="center"/>
    </xf>
    <xf numFmtId="3" fontId="8" fillId="4" borderId="12" xfId="0" applyNumberFormat="1" applyFont="1" applyFill="1" applyBorder="1" applyAlignment="1">
      <alignment horizontal="center" vertical="center"/>
    </xf>
    <xf numFmtId="3" fontId="8" fillId="4" borderId="3" xfId="0" applyNumberFormat="1" applyFont="1" applyFill="1" applyBorder="1" applyAlignment="1">
      <alignment horizontal="center" vertical="center"/>
    </xf>
    <xf numFmtId="3" fontId="8" fillId="4" borderId="62" xfId="0" applyNumberFormat="1" applyFont="1" applyFill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6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6" xfId="0" applyFont="1" applyBorder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8" fillId="4" borderId="76" xfId="0" applyFont="1" applyFill="1" applyBorder="1" applyAlignment="1">
      <alignment horizontal="center"/>
    </xf>
    <xf numFmtId="0" fontId="8" fillId="4" borderId="77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4" borderId="19" xfId="0" applyFont="1" applyFill="1" applyBorder="1" applyAlignment="1">
      <alignment horizontal="left"/>
    </xf>
    <xf numFmtId="3" fontId="16" fillId="4" borderId="12" xfId="0" applyNumberFormat="1" applyFont="1" applyFill="1" applyBorder="1" applyAlignment="1">
      <alignment horizontal="center"/>
    </xf>
    <xf numFmtId="3" fontId="16" fillId="4" borderId="3" xfId="0" applyNumberFormat="1" applyFont="1" applyFill="1" applyBorder="1" applyAlignment="1">
      <alignment horizontal="center"/>
    </xf>
    <xf numFmtId="3" fontId="16" fillId="4" borderId="62" xfId="0" applyNumberFormat="1" applyFont="1" applyFill="1" applyBorder="1" applyAlignment="1">
      <alignment horizontal="center"/>
    </xf>
    <xf numFmtId="0" fontId="8" fillId="4" borderId="2" xfId="0" applyFont="1" applyFill="1" applyBorder="1" applyAlignment="1">
      <alignment horizontal="left"/>
    </xf>
    <xf numFmtId="3" fontId="8" fillId="4" borderId="2" xfId="0" applyNumberFormat="1" applyFont="1" applyFill="1" applyBorder="1" applyAlignment="1">
      <alignment horizontal="left"/>
    </xf>
    <xf numFmtId="0" fontId="18" fillId="0" borderId="0" xfId="0" applyFont="1" applyAlignment="1">
      <alignment horizontal="center"/>
    </xf>
    <xf numFmtId="0" fontId="28" fillId="6" borderId="0" xfId="0" applyFont="1" applyFill="1" applyAlignment="1">
      <alignment horizontal="center"/>
    </xf>
    <xf numFmtId="0" fontId="16" fillId="13" borderId="2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8" fillId="17" borderId="2" xfId="0" applyFont="1" applyFill="1" applyBorder="1" applyAlignment="1">
      <alignment horizontal="left"/>
    </xf>
    <xf numFmtId="3" fontId="8" fillId="17" borderId="2" xfId="0" applyNumberFormat="1" applyFont="1" applyFill="1" applyBorder="1" applyAlignment="1">
      <alignment horizontal="left"/>
    </xf>
    <xf numFmtId="3" fontId="21" fillId="0" borderId="10" xfId="0" applyNumberFormat="1" applyFont="1" applyBorder="1" applyAlignment="1">
      <alignment horizontal="center" vertical="center"/>
    </xf>
    <xf numFmtId="3" fontId="21" fillId="0" borderId="82" xfId="0" applyNumberFormat="1" applyFont="1" applyBorder="1" applyAlignment="1">
      <alignment horizontal="center" vertical="center"/>
    </xf>
    <xf numFmtId="3" fontId="21" fillId="0" borderId="8" xfId="0" applyNumberFormat="1" applyFont="1" applyBorder="1" applyAlignment="1">
      <alignment horizontal="center" vertical="center"/>
    </xf>
    <xf numFmtId="0" fontId="28" fillId="22" borderId="55" xfId="0" applyFont="1" applyFill="1" applyBorder="1" applyAlignment="1">
      <alignment horizontal="center"/>
    </xf>
    <xf numFmtId="0" fontId="14" fillId="42" borderId="44" xfId="0" applyFont="1" applyFill="1" applyBorder="1" applyAlignment="1">
      <alignment horizontal="left"/>
    </xf>
    <xf numFmtId="0" fontId="14" fillId="42" borderId="42" xfId="0" applyFont="1" applyFill="1" applyBorder="1" applyAlignment="1">
      <alignment horizontal="left"/>
    </xf>
    <xf numFmtId="0" fontId="14" fillId="42" borderId="43" xfId="0" applyFont="1" applyFill="1" applyBorder="1" applyAlignment="1">
      <alignment horizontal="left"/>
    </xf>
    <xf numFmtId="0" fontId="14" fillId="44" borderId="44" xfId="0" applyFont="1" applyFill="1" applyBorder="1" applyAlignment="1">
      <alignment horizontal="left"/>
    </xf>
    <xf numFmtId="0" fontId="14" fillId="44" borderId="42" xfId="0" applyFont="1" applyFill="1" applyBorder="1" applyAlignment="1">
      <alignment horizontal="left"/>
    </xf>
    <xf numFmtId="0" fontId="14" fillId="44" borderId="43" xfId="0" applyFont="1" applyFill="1" applyBorder="1" applyAlignment="1">
      <alignment horizontal="left"/>
    </xf>
    <xf numFmtId="0" fontId="64" fillId="19" borderId="55" xfId="5" applyFont="1" applyFill="1" applyBorder="1" applyAlignment="1">
      <alignment horizontal="center" vertical="center"/>
    </xf>
    <xf numFmtId="0" fontId="38" fillId="20" borderId="44" xfId="5" applyFont="1" applyFill="1" applyBorder="1" applyAlignment="1">
      <alignment horizontal="center" vertical="center"/>
    </xf>
    <xf numFmtId="0" fontId="38" fillId="20" borderId="43" xfId="5" applyFont="1" applyFill="1" applyBorder="1" applyAlignment="1">
      <alignment horizontal="center" vertical="center"/>
    </xf>
    <xf numFmtId="3" fontId="62" fillId="0" borderId="44" xfId="5" applyNumberFormat="1" applyFont="1" applyBorder="1" applyAlignment="1">
      <alignment horizontal="center" vertical="center"/>
    </xf>
    <xf numFmtId="3" fontId="62" fillId="0" borderId="43" xfId="5" applyNumberFormat="1" applyFont="1" applyBorder="1" applyAlignment="1">
      <alignment horizontal="center" vertical="center"/>
    </xf>
    <xf numFmtId="3" fontId="61" fillId="22" borderId="44" xfId="5" applyNumberFormat="1" applyFont="1" applyFill="1" applyBorder="1" applyAlignment="1">
      <alignment horizontal="center" vertical="center"/>
    </xf>
    <xf numFmtId="3" fontId="61" fillId="22" borderId="43" xfId="5" applyNumberFormat="1" applyFont="1" applyFill="1" applyBorder="1" applyAlignment="1">
      <alignment horizontal="center" vertical="center"/>
    </xf>
    <xf numFmtId="3" fontId="63" fillId="38" borderId="44" xfId="5" applyNumberFormat="1" applyFont="1" applyFill="1" applyBorder="1" applyAlignment="1">
      <alignment horizontal="center" vertical="center"/>
    </xf>
    <xf numFmtId="3" fontId="63" fillId="38" borderId="43" xfId="5" applyNumberFormat="1" applyFont="1" applyFill="1" applyBorder="1" applyAlignment="1">
      <alignment horizontal="center" vertical="center"/>
    </xf>
    <xf numFmtId="0" fontId="59" fillId="39" borderId="0" xfId="4" applyFont="1" applyFill="1" applyAlignment="1">
      <alignment horizontal="center" vertical="center"/>
    </xf>
    <xf numFmtId="0" fontId="65" fillId="39" borderId="0" xfId="4" applyFont="1" applyFill="1" applyAlignment="1">
      <alignment vertical="center"/>
    </xf>
    <xf numFmtId="0" fontId="37" fillId="19" borderId="0" xfId="2" applyFont="1" applyFill="1" applyBorder="1" applyAlignment="1">
      <alignment horizontal="center" vertical="center"/>
    </xf>
    <xf numFmtId="0" fontId="46" fillId="29" borderId="44" xfId="2" applyFont="1" applyFill="1" applyBorder="1" applyAlignment="1">
      <alignment horizontal="center" vertical="center"/>
    </xf>
    <xf numFmtId="0" fontId="46" fillId="29" borderId="43" xfId="2" applyFont="1" applyFill="1" applyBorder="1" applyAlignment="1">
      <alignment horizontal="center" vertical="center"/>
    </xf>
    <xf numFmtId="164" fontId="43" fillId="0" borderId="47" xfId="2" applyNumberFormat="1" applyFont="1" applyBorder="1" applyAlignment="1">
      <alignment horizontal="center" vertical="center"/>
    </xf>
    <xf numFmtId="164" fontId="43" fillId="0" borderId="49" xfId="2" applyNumberFormat="1" applyFont="1" applyBorder="1" applyAlignment="1">
      <alignment horizontal="center" vertical="center"/>
    </xf>
    <xf numFmtId="164" fontId="43" fillId="0" borderId="50" xfId="2" applyNumberFormat="1" applyFont="1" applyBorder="1" applyAlignment="1">
      <alignment horizontal="center" vertical="center"/>
    </xf>
    <xf numFmtId="164" fontId="43" fillId="0" borderId="52" xfId="2" applyNumberFormat="1" applyFont="1" applyBorder="1" applyAlignment="1">
      <alignment horizontal="center" vertical="center"/>
    </xf>
    <xf numFmtId="3" fontId="2" fillId="0" borderId="55" xfId="2" applyNumberFormat="1" applyBorder="1" applyAlignment="1">
      <alignment horizontal="center"/>
    </xf>
    <xf numFmtId="0" fontId="2" fillId="0" borderId="55" xfId="2" applyBorder="1" applyAlignment="1">
      <alignment horizontal="center"/>
    </xf>
    <xf numFmtId="3" fontId="2" fillId="0" borderId="55" xfId="2" applyNumberFormat="1" applyBorder="1" applyAlignment="1">
      <alignment horizontal="center" vertical="center"/>
    </xf>
    <xf numFmtId="164" fontId="2" fillId="0" borderId="47" xfId="2" applyNumberFormat="1" applyBorder="1" applyAlignment="1">
      <alignment horizontal="center" vertical="center"/>
    </xf>
    <xf numFmtId="164" fontId="2" fillId="0" borderId="49" xfId="2" applyNumberFormat="1" applyBorder="1" applyAlignment="1">
      <alignment horizontal="center" vertical="center"/>
    </xf>
    <xf numFmtId="164" fontId="2" fillId="0" borderId="50" xfId="2" applyNumberFormat="1" applyBorder="1" applyAlignment="1">
      <alignment horizontal="center" vertical="center"/>
    </xf>
    <xf numFmtId="164" fontId="2" fillId="0" borderId="52" xfId="2" applyNumberFormat="1" applyBorder="1" applyAlignment="1">
      <alignment horizontal="center" vertical="center"/>
    </xf>
    <xf numFmtId="0" fontId="2" fillId="0" borderId="55" xfId="2" applyBorder="1" applyAlignment="1">
      <alignment horizontal="center" vertical="center"/>
    </xf>
    <xf numFmtId="164" fontId="43" fillId="30" borderId="47" xfId="2" applyNumberFormat="1" applyFont="1" applyFill="1" applyBorder="1" applyAlignment="1">
      <alignment horizontal="center" vertical="center"/>
    </xf>
    <xf numFmtId="164" fontId="43" fillId="30" borderId="49" xfId="2" applyNumberFormat="1" applyFont="1" applyFill="1" applyBorder="1" applyAlignment="1">
      <alignment horizontal="center" vertical="center"/>
    </xf>
    <xf numFmtId="164" fontId="43" fillId="30" borderId="50" xfId="2" applyNumberFormat="1" applyFont="1" applyFill="1" applyBorder="1" applyAlignment="1">
      <alignment horizontal="center" vertical="center"/>
    </xf>
    <xf numFmtId="164" fontId="43" fillId="30" borderId="52" xfId="2" applyNumberFormat="1" applyFont="1" applyFill="1" applyBorder="1" applyAlignment="1">
      <alignment horizontal="center" vertical="center"/>
    </xf>
    <xf numFmtId="0" fontId="2" fillId="30" borderId="55" xfId="2" applyFill="1" applyBorder="1" applyAlignment="1">
      <alignment horizontal="center" vertical="center"/>
    </xf>
    <xf numFmtId="3" fontId="2" fillId="30" borderId="55" xfId="2" applyNumberFormat="1" applyFill="1" applyBorder="1" applyAlignment="1">
      <alignment horizontal="center" vertical="center"/>
    </xf>
    <xf numFmtId="3" fontId="0" fillId="0" borderId="55" xfId="3" applyNumberFormat="1" applyFont="1" applyBorder="1" applyAlignment="1">
      <alignment horizontal="center" vertical="center"/>
    </xf>
    <xf numFmtId="164" fontId="0" fillId="0" borderId="47" xfId="3" applyNumberFormat="1" applyFont="1" applyBorder="1" applyAlignment="1">
      <alignment horizontal="center" vertical="center"/>
    </xf>
    <xf numFmtId="164" fontId="0" fillId="0" borderId="49" xfId="3" applyNumberFormat="1" applyFont="1" applyBorder="1" applyAlignment="1">
      <alignment horizontal="center" vertical="center"/>
    </xf>
    <xf numFmtId="164" fontId="0" fillId="0" borderId="50" xfId="3" applyNumberFormat="1" applyFont="1" applyBorder="1" applyAlignment="1">
      <alignment horizontal="center" vertical="center"/>
    </xf>
    <xf numFmtId="164" fontId="0" fillId="0" borderId="52" xfId="3" applyNumberFormat="1" applyFont="1" applyBorder="1" applyAlignment="1">
      <alignment horizontal="center" vertical="center"/>
    </xf>
    <xf numFmtId="164" fontId="43" fillId="22" borderId="47" xfId="2" applyNumberFormat="1" applyFont="1" applyFill="1" applyBorder="1" applyAlignment="1">
      <alignment horizontal="center" vertical="center"/>
    </xf>
    <xf numFmtId="164" fontId="43" fillId="22" borderId="49" xfId="2" applyNumberFormat="1" applyFont="1" applyFill="1" applyBorder="1" applyAlignment="1">
      <alignment horizontal="center" vertical="center"/>
    </xf>
    <xf numFmtId="164" fontId="43" fillId="22" borderId="50" xfId="2" applyNumberFormat="1" applyFont="1" applyFill="1" applyBorder="1" applyAlignment="1">
      <alignment horizontal="center" vertical="center"/>
    </xf>
    <xf numFmtId="164" fontId="43" fillId="22" borderId="52" xfId="2" applyNumberFormat="1" applyFont="1" applyFill="1" applyBorder="1" applyAlignment="1">
      <alignment horizontal="center" vertical="center"/>
    </xf>
    <xf numFmtId="164" fontId="43" fillId="22" borderId="55" xfId="2" applyNumberFormat="1" applyFont="1" applyFill="1" applyBorder="1" applyAlignment="1">
      <alignment horizontal="center" vertical="center"/>
    </xf>
    <xf numFmtId="0" fontId="2" fillId="0" borderId="55" xfId="2" applyNumberFormat="1" applyBorder="1" applyAlignment="1">
      <alignment horizontal="center" vertical="center"/>
    </xf>
    <xf numFmtId="164" fontId="2" fillId="31" borderId="47" xfId="2" applyNumberFormat="1" applyFill="1" applyBorder="1" applyAlignment="1">
      <alignment horizontal="center" vertical="center"/>
    </xf>
    <xf numFmtId="164" fontId="2" fillId="31" borderId="49" xfId="2" applyNumberFormat="1" applyFill="1" applyBorder="1" applyAlignment="1">
      <alignment horizontal="center" vertical="center"/>
    </xf>
    <xf numFmtId="164" fontId="2" fillId="31" borderId="50" xfId="2" applyNumberFormat="1" applyFill="1" applyBorder="1" applyAlignment="1">
      <alignment horizontal="center" vertical="center"/>
    </xf>
    <xf numFmtId="164" fontId="2" fillId="31" borderId="52" xfId="2" applyNumberFormat="1" applyFill="1" applyBorder="1" applyAlignment="1">
      <alignment horizontal="center" vertical="center"/>
    </xf>
    <xf numFmtId="0" fontId="2" fillId="25" borderId="55" xfId="2" applyFill="1" applyBorder="1" applyAlignment="1">
      <alignment horizontal="center" vertical="center"/>
    </xf>
    <xf numFmtId="164" fontId="2" fillId="25" borderId="47" xfId="2" applyNumberFormat="1" applyFill="1" applyBorder="1" applyAlignment="1">
      <alignment horizontal="center" vertical="center"/>
    </xf>
    <xf numFmtId="164" fontId="2" fillId="25" borderId="49" xfId="2" applyNumberFormat="1" applyFill="1" applyBorder="1" applyAlignment="1">
      <alignment horizontal="center" vertical="center"/>
    </xf>
    <xf numFmtId="164" fontId="2" fillId="25" borderId="50" xfId="2" applyNumberFormat="1" applyFill="1" applyBorder="1" applyAlignment="1">
      <alignment horizontal="center" vertical="center"/>
    </xf>
    <xf numFmtId="164" fontId="2" fillId="25" borderId="52" xfId="2" applyNumberFormat="1" applyFill="1" applyBorder="1" applyAlignment="1">
      <alignment horizontal="center" vertical="center"/>
    </xf>
    <xf numFmtId="164" fontId="2" fillId="25" borderId="55" xfId="2" applyNumberFormat="1" applyFill="1" applyBorder="1" applyAlignment="1">
      <alignment horizontal="center" vertical="center"/>
    </xf>
    <xf numFmtId="0" fontId="2" fillId="25" borderId="55" xfId="2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2" fillId="0" borderId="18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13" borderId="0" xfId="0" applyFont="1" applyFill="1" applyAlignment="1">
      <alignment horizontal="center"/>
    </xf>
    <xf numFmtId="3" fontId="20" fillId="0" borderId="62" xfId="0" applyNumberFormat="1" applyFont="1" applyBorder="1" applyAlignment="1">
      <alignment horizontal="center" vertical="center"/>
    </xf>
    <xf numFmtId="0" fontId="8" fillId="4" borderId="0" xfId="0" applyFont="1" applyFill="1" applyBorder="1" applyAlignment="1"/>
    <xf numFmtId="3" fontId="8" fillId="0" borderId="82" xfId="0" applyNumberFormat="1" applyFont="1" applyBorder="1" applyAlignment="1">
      <alignment horizontal="center" vertical="center"/>
    </xf>
    <xf numFmtId="0" fontId="0" fillId="0" borderId="55" xfId="0" applyBorder="1"/>
    <xf numFmtId="3" fontId="17" fillId="0" borderId="12" xfId="0" applyNumberFormat="1" applyFont="1" applyBorder="1" applyAlignment="1">
      <alignment horizontal="left" vertical="center"/>
    </xf>
    <xf numFmtId="3" fontId="8" fillId="4" borderId="83" xfId="0" applyNumberFormat="1" applyFont="1" applyFill="1" applyBorder="1" applyAlignment="1">
      <alignment horizontal="center"/>
    </xf>
    <xf numFmtId="3" fontId="8" fillId="0" borderId="8" xfId="0" applyNumberFormat="1" applyFont="1" applyBorder="1" applyAlignment="1">
      <alignment horizontal="center" vertical="center"/>
    </xf>
    <xf numFmtId="3" fontId="8" fillId="4" borderId="83" xfId="0" applyNumberFormat="1" applyFont="1" applyFill="1" applyBorder="1" applyAlignment="1">
      <alignment horizontal="center" vertical="center"/>
    </xf>
    <xf numFmtId="3" fontId="8" fillId="0" borderId="68" xfId="0" applyNumberFormat="1" applyFont="1" applyBorder="1" applyAlignment="1">
      <alignment horizontal="center" vertical="center"/>
    </xf>
    <xf numFmtId="3" fontId="0" fillId="0" borderId="55" xfId="0" applyNumberFormat="1" applyBorder="1"/>
    <xf numFmtId="0" fontId="0" fillId="0" borderId="0" xfId="0" applyAlignment="1">
      <alignment horizontal="left"/>
    </xf>
    <xf numFmtId="0" fontId="8" fillId="0" borderId="2" xfId="0" applyFont="1" applyBorder="1" applyAlignment="1">
      <alignment horizontal="left"/>
    </xf>
    <xf numFmtId="3" fontId="17" fillId="0" borderId="2" xfId="0" applyNumberFormat="1" applyFont="1" applyBorder="1" applyAlignment="1">
      <alignment horizontal="left"/>
    </xf>
    <xf numFmtId="0" fontId="17" fillId="0" borderId="0" xfId="0" applyFont="1" applyAlignment="1">
      <alignment horizontal="left"/>
    </xf>
    <xf numFmtId="0" fontId="8" fillId="16" borderId="84" xfId="0" applyFont="1" applyFill="1" applyBorder="1" applyAlignment="1">
      <alignment horizontal="center" vertical="center"/>
    </xf>
    <xf numFmtId="0" fontId="8" fillId="16" borderId="16" xfId="0" applyFont="1" applyFill="1" applyBorder="1" applyAlignment="1">
      <alignment horizontal="center" vertical="center"/>
    </xf>
    <xf numFmtId="0" fontId="8" fillId="16" borderId="85" xfId="0" applyFont="1" applyFill="1" applyBorder="1" applyAlignment="1">
      <alignment horizontal="center" vertical="center"/>
    </xf>
    <xf numFmtId="0" fontId="16" fillId="0" borderId="86" xfId="0" applyFont="1" applyBorder="1" applyAlignment="1">
      <alignment horizontal="center" vertical="center"/>
    </xf>
    <xf numFmtId="3" fontId="16" fillId="0" borderId="17" xfId="0" applyNumberFormat="1" applyFont="1" applyBorder="1" applyAlignment="1">
      <alignment horizontal="center" vertical="center"/>
    </xf>
    <xf numFmtId="0" fontId="21" fillId="0" borderId="87" xfId="0" applyFont="1" applyBorder="1" applyAlignment="1">
      <alignment horizontal="center" vertical="center"/>
    </xf>
    <xf numFmtId="3" fontId="21" fillId="0" borderId="60" xfId="0" applyNumberFormat="1" applyFont="1" applyBorder="1" applyAlignment="1">
      <alignment horizontal="center" vertical="center"/>
    </xf>
    <xf numFmtId="3" fontId="16" fillId="0" borderId="88" xfId="0" applyNumberFormat="1" applyFont="1" applyBorder="1" applyAlignment="1">
      <alignment horizontal="center" vertical="center"/>
    </xf>
    <xf numFmtId="0" fontId="21" fillId="0" borderId="89" xfId="0" applyFont="1" applyBorder="1" applyAlignment="1">
      <alignment horizontal="center" vertical="center"/>
    </xf>
    <xf numFmtId="3" fontId="16" fillId="0" borderId="90" xfId="0" applyNumberFormat="1" applyFont="1" applyBorder="1" applyAlignment="1">
      <alignment horizontal="center" vertical="center"/>
    </xf>
    <xf numFmtId="0" fontId="21" fillId="0" borderId="91" xfId="0" applyFont="1" applyBorder="1" applyAlignment="1">
      <alignment horizontal="center" vertical="center"/>
    </xf>
    <xf numFmtId="3" fontId="21" fillId="0" borderId="59" xfId="0" applyNumberFormat="1" applyFont="1" applyBorder="1" applyAlignment="1">
      <alignment horizontal="center" vertical="center"/>
    </xf>
    <xf numFmtId="3" fontId="16" fillId="0" borderId="92" xfId="0" applyNumberFormat="1" applyFont="1" applyBorder="1" applyAlignment="1">
      <alignment horizontal="center" vertical="center"/>
    </xf>
    <xf numFmtId="0" fontId="1" fillId="0" borderId="0" xfId="5" applyAlignment="1">
      <alignment horizontal="left"/>
    </xf>
    <xf numFmtId="0" fontId="38" fillId="20" borderId="44" xfId="5" applyFont="1" applyFill="1" applyBorder="1" applyAlignment="1">
      <alignment horizontal="left" vertical="center"/>
    </xf>
    <xf numFmtId="0" fontId="38" fillId="20" borderId="42" xfId="5" applyFont="1" applyFill="1" applyBorder="1" applyAlignment="1">
      <alignment horizontal="left" vertical="center"/>
    </xf>
    <xf numFmtId="0" fontId="38" fillId="20" borderId="43" xfId="5" applyFont="1" applyFill="1" applyBorder="1" applyAlignment="1">
      <alignment horizontal="left" vertical="center"/>
    </xf>
    <xf numFmtId="3" fontId="62" fillId="0" borderId="44" xfId="5" applyNumberFormat="1" applyFont="1" applyBorder="1" applyAlignment="1">
      <alignment horizontal="left" vertical="center"/>
    </xf>
    <xf numFmtId="0" fontId="62" fillId="0" borderId="42" xfId="5" applyFont="1" applyBorder="1" applyAlignment="1">
      <alignment horizontal="left" vertical="center"/>
    </xf>
    <xf numFmtId="0" fontId="62" fillId="0" borderId="43" xfId="5" applyFont="1" applyBorder="1" applyAlignment="1">
      <alignment horizontal="left" vertical="center"/>
    </xf>
    <xf numFmtId="0" fontId="61" fillId="22" borderId="44" xfId="5" applyFont="1" applyFill="1" applyBorder="1" applyAlignment="1">
      <alignment horizontal="left" vertical="center"/>
    </xf>
    <xf numFmtId="0" fontId="61" fillId="22" borderId="42" xfId="5" applyFont="1" applyFill="1" applyBorder="1" applyAlignment="1">
      <alignment horizontal="left" vertical="center"/>
    </xf>
    <xf numFmtId="0" fontId="61" fillId="22" borderId="43" xfId="5" applyFont="1" applyFill="1" applyBorder="1" applyAlignment="1">
      <alignment horizontal="left" vertical="center"/>
    </xf>
    <xf numFmtId="0" fontId="62" fillId="0" borderId="44" xfId="5" applyFont="1" applyBorder="1" applyAlignment="1">
      <alignment horizontal="left" vertical="center"/>
    </xf>
    <xf numFmtId="0" fontId="63" fillId="38" borderId="44" xfId="5" applyFont="1" applyFill="1" applyBorder="1" applyAlignment="1">
      <alignment horizontal="left" vertical="center"/>
    </xf>
    <xf numFmtId="0" fontId="63" fillId="38" borderId="42" xfId="5" applyFont="1" applyFill="1" applyBorder="1" applyAlignment="1">
      <alignment horizontal="left" vertical="center"/>
    </xf>
    <xf numFmtId="0" fontId="63" fillId="38" borderId="43" xfId="5" applyFont="1" applyFill="1" applyBorder="1" applyAlignment="1">
      <alignment horizontal="left" vertical="center"/>
    </xf>
    <xf numFmtId="0" fontId="8" fillId="36" borderId="0" xfId="0" applyFont="1" applyFill="1" applyAlignment="1">
      <alignment horizontal="center" vertical="center"/>
    </xf>
    <xf numFmtId="0" fontId="17" fillId="37" borderId="55" xfId="0" applyFont="1" applyFill="1" applyBorder="1"/>
    <xf numFmtId="41" fontId="17" fillId="37" borderId="55" xfId="6" applyFont="1" applyFill="1" applyBorder="1" applyAlignment="1">
      <alignment horizontal="center" vertical="center"/>
    </xf>
    <xf numFmtId="0" fontId="17" fillId="0" borderId="55" xfId="0" applyFont="1" applyBorder="1"/>
    <xf numFmtId="41" fontId="17" fillId="0" borderId="55" xfId="6" applyFont="1" applyBorder="1" applyAlignment="1">
      <alignment horizontal="center" vertical="center"/>
    </xf>
    <xf numFmtId="41" fontId="67" fillId="41" borderId="55" xfId="6" applyFont="1" applyFill="1" applyBorder="1" applyAlignment="1">
      <alignment horizontal="center" vertical="center"/>
    </xf>
    <xf numFmtId="0" fontId="17" fillId="0" borderId="0" xfId="0" applyFont="1" applyFill="1" applyBorder="1"/>
    <xf numFmtId="41" fontId="17" fillId="0" borderId="0" xfId="6" applyFont="1"/>
    <xf numFmtId="0" fontId="2" fillId="0" borderId="51" xfId="2" applyBorder="1" applyAlignment="1">
      <alignment horizontal="left" vertical="center"/>
    </xf>
    <xf numFmtId="0" fontId="2" fillId="0" borderId="52" xfId="2" applyBorder="1" applyAlignment="1">
      <alignment horizontal="left" vertical="center"/>
    </xf>
    <xf numFmtId="0" fontId="43" fillId="0" borderId="47" xfId="2" applyFont="1" applyBorder="1" applyAlignment="1">
      <alignment horizontal="left" vertical="center"/>
    </xf>
    <xf numFmtId="0" fontId="43" fillId="0" borderId="48" xfId="2" applyFont="1" applyBorder="1" applyAlignment="1">
      <alignment horizontal="left" vertical="center"/>
    </xf>
    <xf numFmtId="0" fontId="43" fillId="0" borderId="49" xfId="2" applyFont="1" applyBorder="1" applyAlignment="1">
      <alignment horizontal="left" vertical="center"/>
    </xf>
    <xf numFmtId="0" fontId="43" fillId="0" borderId="50" xfId="2" applyFont="1" applyBorder="1" applyAlignment="1">
      <alignment horizontal="left" vertical="center"/>
    </xf>
    <xf numFmtId="0" fontId="43" fillId="0" borderId="51" xfId="2" applyFont="1" applyBorder="1" applyAlignment="1">
      <alignment horizontal="left" vertical="center"/>
    </xf>
    <xf numFmtId="0" fontId="43" fillId="0" borderId="52" xfId="2" applyFont="1" applyBorder="1" applyAlignment="1">
      <alignment horizontal="left" vertical="center"/>
    </xf>
    <xf numFmtId="0" fontId="2" fillId="0" borderId="47" xfId="2" applyBorder="1" applyAlignment="1">
      <alignment horizontal="left" vertical="center"/>
    </xf>
    <xf numFmtId="0" fontId="2" fillId="0" borderId="48" xfId="2" applyBorder="1" applyAlignment="1">
      <alignment horizontal="left" vertical="center"/>
    </xf>
    <xf numFmtId="0" fontId="2" fillId="0" borderId="49" xfId="2" applyBorder="1" applyAlignment="1">
      <alignment horizontal="left" vertical="center"/>
    </xf>
    <xf numFmtId="0" fontId="2" fillId="0" borderId="50" xfId="2" applyBorder="1" applyAlignment="1">
      <alignment horizontal="left" vertical="center"/>
    </xf>
    <xf numFmtId="0" fontId="43" fillId="30" borderId="47" xfId="2" applyFont="1" applyFill="1" applyBorder="1" applyAlignment="1">
      <alignment horizontal="left" vertical="center"/>
    </xf>
    <xf numFmtId="0" fontId="43" fillId="30" borderId="48" xfId="2" applyFont="1" applyFill="1" applyBorder="1" applyAlignment="1">
      <alignment horizontal="left" vertical="center"/>
    </xf>
    <xf numFmtId="0" fontId="43" fillId="30" borderId="49" xfId="2" applyFont="1" applyFill="1" applyBorder="1" applyAlignment="1">
      <alignment horizontal="left" vertical="center"/>
    </xf>
    <xf numFmtId="0" fontId="43" fillId="30" borderId="50" xfId="2" applyFont="1" applyFill="1" applyBorder="1" applyAlignment="1">
      <alignment horizontal="left" vertical="center"/>
    </xf>
    <xf numFmtId="0" fontId="43" fillId="30" borderId="51" xfId="2" applyFont="1" applyFill="1" applyBorder="1" applyAlignment="1">
      <alignment horizontal="left" vertical="center"/>
    </xf>
    <xf numFmtId="0" fontId="43" fillId="30" borderId="52" xfId="2" applyFont="1" applyFill="1" applyBorder="1" applyAlignment="1">
      <alignment horizontal="left" vertical="center"/>
    </xf>
    <xf numFmtId="0" fontId="43" fillId="22" borderId="47" xfId="2" applyFont="1" applyFill="1" applyBorder="1" applyAlignment="1">
      <alignment horizontal="left" vertical="center"/>
    </xf>
    <xf numFmtId="0" fontId="43" fillId="22" borderId="48" xfId="2" applyFont="1" applyFill="1" applyBorder="1" applyAlignment="1">
      <alignment horizontal="left" vertical="center"/>
    </xf>
    <xf numFmtId="0" fontId="43" fillId="22" borderId="49" xfId="2" applyFont="1" applyFill="1" applyBorder="1" applyAlignment="1">
      <alignment horizontal="left" vertical="center"/>
    </xf>
    <xf numFmtId="0" fontId="43" fillId="22" borderId="50" xfId="2" applyFont="1" applyFill="1" applyBorder="1" applyAlignment="1">
      <alignment horizontal="left" vertical="center"/>
    </xf>
    <xf numFmtId="0" fontId="43" fillId="22" borderId="51" xfId="2" applyFont="1" applyFill="1" applyBorder="1" applyAlignment="1">
      <alignment horizontal="left" vertical="center"/>
    </xf>
    <xf numFmtId="0" fontId="43" fillId="22" borderId="52" xfId="2" applyFont="1" applyFill="1" applyBorder="1" applyAlignment="1">
      <alignment horizontal="left" vertical="center"/>
    </xf>
    <xf numFmtId="0" fontId="2" fillId="0" borderId="0" xfId="2" applyBorder="1" applyAlignment="1">
      <alignment horizontal="left" vertical="center"/>
    </xf>
    <xf numFmtId="0" fontId="2" fillId="31" borderId="47" xfId="2" applyFill="1" applyBorder="1" applyAlignment="1">
      <alignment horizontal="left" vertical="center"/>
    </xf>
    <xf numFmtId="0" fontId="2" fillId="31" borderId="48" xfId="2" applyFill="1" applyBorder="1" applyAlignment="1">
      <alignment horizontal="left" vertical="center"/>
    </xf>
    <xf numFmtId="0" fontId="2" fillId="31" borderId="49" xfId="2" applyFill="1" applyBorder="1" applyAlignment="1">
      <alignment horizontal="left" vertical="center"/>
    </xf>
    <xf numFmtId="0" fontId="2" fillId="31" borderId="50" xfId="2" applyFill="1" applyBorder="1" applyAlignment="1">
      <alignment horizontal="left" vertical="center"/>
    </xf>
    <xf numFmtId="0" fontId="2" fillId="31" borderId="51" xfId="2" applyFill="1" applyBorder="1" applyAlignment="1">
      <alignment horizontal="left" vertical="center"/>
    </xf>
    <xf numFmtId="0" fontId="2" fillId="31" borderId="52" xfId="2" applyFill="1" applyBorder="1" applyAlignment="1">
      <alignment horizontal="left" vertical="center"/>
    </xf>
    <xf numFmtId="0" fontId="2" fillId="0" borderId="0" xfId="2" applyFill="1" applyBorder="1" applyAlignment="1">
      <alignment horizontal="left" vertical="center"/>
    </xf>
    <xf numFmtId="0" fontId="2" fillId="25" borderId="47" xfId="2" applyFill="1" applyBorder="1" applyAlignment="1">
      <alignment horizontal="left" vertical="center"/>
    </xf>
    <xf numFmtId="0" fontId="2" fillId="25" borderId="48" xfId="2" applyFill="1" applyBorder="1" applyAlignment="1">
      <alignment horizontal="left" vertical="center"/>
    </xf>
    <xf numFmtId="0" fontId="2" fillId="25" borderId="49" xfId="2" applyFill="1" applyBorder="1" applyAlignment="1">
      <alignment horizontal="left" vertical="center"/>
    </xf>
    <xf numFmtId="0" fontId="2" fillId="25" borderId="50" xfId="2" applyFill="1" applyBorder="1" applyAlignment="1">
      <alignment horizontal="left" vertical="center"/>
    </xf>
    <xf numFmtId="0" fontId="2" fillId="25" borderId="51" xfId="2" applyFill="1" applyBorder="1" applyAlignment="1">
      <alignment horizontal="left" vertical="center"/>
    </xf>
    <xf numFmtId="0" fontId="2" fillId="25" borderId="52" xfId="2" applyFill="1" applyBorder="1" applyAlignment="1">
      <alignment horizontal="left" vertical="center"/>
    </xf>
    <xf numFmtId="0" fontId="2" fillId="0" borderId="0" xfId="2" applyAlignment="1">
      <alignment horizontal="left"/>
    </xf>
  </cellXfs>
  <cellStyles count="7">
    <cellStyle name="Milliers [0]" xfId="6" builtinId="6"/>
    <cellStyle name="Normal" xfId="0" builtinId="0" customBuiltin="1"/>
    <cellStyle name="Normal 2" xfId="1"/>
    <cellStyle name="Normal 3" xfId="2"/>
    <cellStyle name="Normal 4" xfId="4"/>
    <cellStyle name="Normal 5" xf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207</xdr:row>
      <xdr:rowOff>0</xdr:rowOff>
    </xdr:from>
    <xdr:ext cx="152400" cy="152400"/>
    <xdr:pic>
      <xdr:nvPicPr>
        <xdr:cNvPr id="2" name="Image 6" descr="*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74256900"/>
          <a:ext cx="152400" cy="15240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0</xdr:colOff>
      <xdr:row>208</xdr:row>
      <xdr:rowOff>0</xdr:rowOff>
    </xdr:from>
    <xdr:ext cx="152400" cy="152400"/>
    <xdr:pic>
      <xdr:nvPicPr>
        <xdr:cNvPr id="3" name="Image 7" descr="*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74552175"/>
          <a:ext cx="152400" cy="152400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0</xdr:colOff>
      <xdr:row>210</xdr:row>
      <xdr:rowOff>0</xdr:rowOff>
    </xdr:from>
    <xdr:ext cx="152400" cy="152400"/>
    <xdr:pic>
      <xdr:nvPicPr>
        <xdr:cNvPr id="4" name="Image 8" descr="*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75142725"/>
          <a:ext cx="152400" cy="15240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18"/>
  <sheetViews>
    <sheetView topLeftCell="B3" zoomScale="25" zoomScaleNormal="25" workbookViewId="0">
      <selection activeCell="B15" sqref="B15:L18"/>
    </sheetView>
  </sheetViews>
  <sheetFormatPr baseColWidth="10" defaultRowHeight="15" x14ac:dyDescent="0.25"/>
  <cols>
    <col min="1" max="1" width="11.42578125" hidden="1" customWidth="1"/>
    <col min="2" max="6" width="11.42578125" customWidth="1"/>
    <col min="7" max="7" width="82.28515625" customWidth="1"/>
    <col min="8" max="8" width="11.42578125" customWidth="1"/>
  </cols>
  <sheetData>
    <row r="1" spans="2:13" ht="2.1" hidden="1" customHeight="1" x14ac:dyDescent="0.25"/>
    <row r="2" spans="2:13" hidden="1" x14ac:dyDescent="0.25"/>
    <row r="3" spans="2:13" x14ac:dyDescent="0.25">
      <c r="B3" s="315" t="s">
        <v>420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</row>
    <row r="4" spans="2:13" x14ac:dyDescent="0.25"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</row>
    <row r="5" spans="2:13" x14ac:dyDescent="0.25"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</row>
    <row r="6" spans="2:13" x14ac:dyDescent="0.25"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</row>
    <row r="7" spans="2:13" ht="30" customHeight="1" x14ac:dyDescent="0.25"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</row>
    <row r="8" spans="2:13" x14ac:dyDescent="0.25"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</row>
    <row r="9" spans="2:13" x14ac:dyDescent="0.25"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</row>
    <row r="10" spans="2:13" ht="71.099999999999994" customHeight="1" x14ac:dyDescent="0.7">
      <c r="B10" s="316" t="s">
        <v>0</v>
      </c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1"/>
    </row>
    <row r="11" spans="2:13" ht="60" customHeight="1" x14ac:dyDescent="0.9">
      <c r="B11" s="317" t="s">
        <v>253</v>
      </c>
      <c r="C11" s="317"/>
      <c r="D11" s="317"/>
      <c r="E11" s="317"/>
      <c r="F11" s="317"/>
      <c r="G11" s="317"/>
      <c r="H11" s="317"/>
      <c r="I11" s="317"/>
      <c r="J11" s="317"/>
      <c r="K11" s="317"/>
      <c r="L11" s="317"/>
      <c r="M11" s="317"/>
    </row>
    <row r="12" spans="2:13" ht="92.25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2:13" ht="2.1" customHeight="1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2:13" ht="0" hidden="1" customHeight="1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2:13" ht="54.95" customHeight="1" x14ac:dyDescent="0.25">
      <c r="B15" s="318" t="s">
        <v>1</v>
      </c>
      <c r="C15" s="318"/>
      <c r="D15" s="318"/>
      <c r="E15" s="318"/>
      <c r="F15" s="318"/>
      <c r="G15" s="318"/>
      <c r="H15" s="318"/>
      <c r="I15" s="318"/>
      <c r="J15" s="318"/>
      <c r="K15" s="318"/>
      <c r="L15" s="318"/>
      <c r="M15" s="4"/>
    </row>
    <row r="16" spans="2:13" ht="92.25" x14ac:dyDescent="0.25">
      <c r="B16" s="318"/>
      <c r="C16" s="318"/>
      <c r="D16" s="318"/>
      <c r="E16" s="318"/>
      <c r="F16" s="318"/>
      <c r="G16" s="318"/>
      <c r="H16" s="318"/>
      <c r="I16" s="318"/>
      <c r="J16" s="318"/>
      <c r="K16" s="318"/>
      <c r="L16" s="318"/>
      <c r="M16" s="4"/>
    </row>
    <row r="17" spans="2:13" ht="92.25" x14ac:dyDescent="0.25">
      <c r="B17" s="318"/>
      <c r="C17" s="318"/>
      <c r="D17" s="318"/>
      <c r="E17" s="318"/>
      <c r="F17" s="318"/>
      <c r="G17" s="318"/>
      <c r="H17" s="318"/>
      <c r="I17" s="318"/>
      <c r="J17" s="318"/>
      <c r="K17" s="318"/>
      <c r="L17" s="318"/>
      <c r="M17" s="4"/>
    </row>
    <row r="18" spans="2:13" ht="92.25" x14ac:dyDescent="0.25">
      <c r="B18" s="318"/>
      <c r="C18" s="318"/>
      <c r="D18" s="318"/>
      <c r="E18" s="318"/>
      <c r="F18" s="318"/>
      <c r="G18" s="318"/>
      <c r="H18" s="318"/>
      <c r="I18" s="318"/>
      <c r="J18" s="318"/>
      <c r="K18" s="318"/>
      <c r="L18" s="318"/>
      <c r="M18" s="4"/>
    </row>
  </sheetData>
  <mergeCells count="4">
    <mergeCell ref="B3:M9"/>
    <mergeCell ref="B10:L10"/>
    <mergeCell ref="B11:M11"/>
    <mergeCell ref="B15:L18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showGridLines="0" zoomScaleNormal="100" workbookViewId="0">
      <selection sqref="A1:G3"/>
    </sheetView>
  </sheetViews>
  <sheetFormatPr baseColWidth="10" defaultRowHeight="15" x14ac:dyDescent="0.25"/>
  <cols>
    <col min="1" max="1" width="11.42578125" customWidth="1"/>
  </cols>
  <sheetData>
    <row r="1" spans="1:7" x14ac:dyDescent="0.25">
      <c r="A1" s="319" t="s">
        <v>2</v>
      </c>
      <c r="B1" s="319"/>
      <c r="C1" s="319"/>
      <c r="D1" s="319"/>
      <c r="E1" s="319"/>
      <c r="F1" s="319"/>
      <c r="G1" s="319"/>
    </row>
    <row r="2" spans="1:7" x14ac:dyDescent="0.25">
      <c r="A2" s="319"/>
      <c r="B2" s="319"/>
      <c r="C2" s="319"/>
      <c r="D2" s="319"/>
      <c r="E2" s="319"/>
      <c r="F2" s="319"/>
      <c r="G2" s="319"/>
    </row>
    <row r="3" spans="1:7" x14ac:dyDescent="0.25">
      <c r="A3" s="319"/>
      <c r="B3" s="319"/>
      <c r="C3" s="319"/>
      <c r="D3" s="319"/>
      <c r="E3" s="319"/>
      <c r="F3" s="319"/>
      <c r="G3" s="319"/>
    </row>
    <row r="7" spans="1:7" ht="21" x14ac:dyDescent="0.35">
      <c r="A7" s="5" t="s">
        <v>3</v>
      </c>
      <c r="B7" s="5"/>
      <c r="C7" s="5"/>
      <c r="D7" s="5"/>
      <c r="E7" s="5"/>
      <c r="F7" s="5"/>
      <c r="G7" s="5"/>
    </row>
    <row r="8" spans="1:7" ht="21" x14ac:dyDescent="0.35">
      <c r="A8" s="5"/>
      <c r="B8" s="5"/>
      <c r="C8" s="5"/>
      <c r="D8" s="5"/>
      <c r="E8" s="5"/>
      <c r="F8" s="5"/>
      <c r="G8" s="5"/>
    </row>
    <row r="9" spans="1:7" ht="21" x14ac:dyDescent="0.35">
      <c r="A9" s="5" t="s">
        <v>403</v>
      </c>
      <c r="B9" s="5"/>
      <c r="C9" s="5"/>
      <c r="D9" s="5"/>
      <c r="E9" s="5"/>
      <c r="F9" s="5"/>
      <c r="G9" s="5"/>
    </row>
    <row r="10" spans="1:7" ht="21" x14ac:dyDescent="0.35">
      <c r="A10" s="5"/>
      <c r="B10" s="5"/>
      <c r="C10" s="5"/>
      <c r="D10" s="5"/>
      <c r="E10" s="5"/>
      <c r="F10" s="5"/>
      <c r="G10" s="5"/>
    </row>
    <row r="11" spans="1:7" ht="21" x14ac:dyDescent="0.35">
      <c r="A11" s="5" t="s">
        <v>404</v>
      </c>
      <c r="B11" s="5"/>
      <c r="C11" s="5"/>
      <c r="D11" s="5"/>
      <c r="E11" s="5"/>
      <c r="F11" s="5"/>
      <c r="G11" s="5"/>
    </row>
    <row r="12" spans="1:7" ht="21" x14ac:dyDescent="0.35">
      <c r="A12" s="5"/>
      <c r="B12" s="5"/>
      <c r="C12" s="5"/>
      <c r="D12" s="5"/>
      <c r="E12" s="5"/>
      <c r="F12" s="5"/>
      <c r="G12" s="5"/>
    </row>
    <row r="13" spans="1:7" ht="21" x14ac:dyDescent="0.35">
      <c r="A13" s="5" t="s">
        <v>406</v>
      </c>
      <c r="B13" s="5"/>
      <c r="C13" s="5"/>
      <c r="D13" s="5"/>
      <c r="E13" s="5"/>
      <c r="F13" s="5"/>
      <c r="G13" s="5"/>
    </row>
    <row r="14" spans="1:7" ht="21" x14ac:dyDescent="0.35">
      <c r="A14" s="5"/>
      <c r="B14" s="5"/>
      <c r="C14" s="5"/>
      <c r="D14" s="5"/>
      <c r="E14" s="5"/>
      <c r="F14" s="5"/>
      <c r="G14" s="5"/>
    </row>
    <row r="15" spans="1:7" ht="21" x14ac:dyDescent="0.35">
      <c r="A15" s="5" t="s">
        <v>405</v>
      </c>
      <c r="B15" s="5"/>
      <c r="C15" s="5"/>
      <c r="D15" s="5"/>
      <c r="E15" s="5"/>
      <c r="F15" s="5"/>
      <c r="G15" s="5"/>
    </row>
    <row r="16" spans="1:7" ht="21" x14ac:dyDescent="0.35">
      <c r="A16" s="5"/>
      <c r="B16" s="5"/>
      <c r="C16" s="5"/>
      <c r="D16" s="5"/>
      <c r="E16" s="5"/>
      <c r="F16" s="5"/>
      <c r="G16" s="5"/>
    </row>
  </sheetData>
  <mergeCells count="1">
    <mergeCell ref="A1:G3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T14"/>
  <sheetViews>
    <sheetView showGridLines="0" zoomScaleNormal="100" workbookViewId="0">
      <selection activeCell="C9" sqref="C9:E9"/>
    </sheetView>
  </sheetViews>
  <sheetFormatPr baseColWidth="10" defaultRowHeight="15" x14ac:dyDescent="0.25"/>
  <cols>
    <col min="1" max="1" width="18.7109375" customWidth="1"/>
    <col min="2" max="2" width="20.28515625" customWidth="1"/>
    <col min="3" max="3" width="19.140625" customWidth="1"/>
    <col min="4" max="4" width="19.28515625" customWidth="1"/>
    <col min="5" max="5" width="17" customWidth="1"/>
    <col min="6" max="10" width="11.42578125" customWidth="1"/>
    <col min="11" max="11" width="36.5703125" customWidth="1"/>
    <col min="12" max="12" width="11.42578125" customWidth="1"/>
  </cols>
  <sheetData>
    <row r="1" spans="1:20" x14ac:dyDescent="0.25">
      <c r="A1" s="320" t="s">
        <v>4</v>
      </c>
      <c r="B1" s="320"/>
      <c r="C1" s="320"/>
      <c r="D1" s="320"/>
      <c r="E1" s="320"/>
      <c r="F1" s="321" t="s">
        <v>420</v>
      </c>
      <c r="G1" s="321"/>
      <c r="H1" s="321"/>
      <c r="I1" s="321"/>
      <c r="J1" s="321"/>
      <c r="K1" s="321"/>
    </row>
    <row r="2" spans="1:20" ht="33.950000000000003" customHeight="1" x14ac:dyDescent="0.25">
      <c r="A2" s="320"/>
      <c r="B2" s="320"/>
      <c r="C2" s="320"/>
      <c r="D2" s="320"/>
      <c r="E2" s="320"/>
      <c r="F2" s="321"/>
      <c r="G2" s="321"/>
      <c r="H2" s="321"/>
      <c r="I2" s="321"/>
      <c r="J2" s="321"/>
      <c r="K2" s="321"/>
    </row>
    <row r="3" spans="1:20" ht="30" customHeight="1" x14ac:dyDescent="0.25">
      <c r="A3" s="322" t="s">
        <v>5</v>
      </c>
      <c r="B3" s="322"/>
      <c r="C3" s="323" t="s">
        <v>422</v>
      </c>
      <c r="D3" s="323"/>
      <c r="E3" s="323"/>
      <c r="F3" s="321"/>
      <c r="G3" s="321"/>
      <c r="H3" s="321"/>
      <c r="I3" s="321"/>
      <c r="J3" s="321"/>
      <c r="K3" s="321"/>
    </row>
    <row r="4" spans="1:20" ht="27" customHeight="1" x14ac:dyDescent="0.25">
      <c r="A4" s="322" t="s">
        <v>6</v>
      </c>
      <c r="B4" s="322"/>
      <c r="C4" s="323"/>
      <c r="D4" s="323"/>
      <c r="E4" s="323"/>
      <c r="F4" s="321"/>
      <c r="G4" s="321"/>
      <c r="H4" s="321"/>
      <c r="I4" s="321"/>
      <c r="J4" s="321"/>
      <c r="K4" s="321"/>
    </row>
    <row r="5" spans="1:20" ht="20.100000000000001" customHeight="1" x14ac:dyDescent="0.25">
      <c r="A5" s="322" t="s">
        <v>7</v>
      </c>
      <c r="B5" s="322"/>
      <c r="C5" s="324"/>
      <c r="D5" s="324"/>
      <c r="E5" s="324"/>
      <c r="F5" s="321"/>
      <c r="G5" s="321"/>
      <c r="H5" s="321"/>
      <c r="I5" s="321"/>
      <c r="J5" s="321"/>
      <c r="K5" s="321"/>
    </row>
    <row r="6" spans="1:20" ht="24" customHeight="1" x14ac:dyDescent="0.25">
      <c r="A6" s="322" t="s">
        <v>8</v>
      </c>
      <c r="B6" s="322"/>
      <c r="C6" s="324"/>
      <c r="D6" s="324"/>
      <c r="E6" s="324"/>
      <c r="F6" s="325" t="s">
        <v>0</v>
      </c>
      <c r="G6" s="325"/>
      <c r="H6" s="325"/>
      <c r="I6" s="325"/>
      <c r="J6" s="325"/>
      <c r="K6" s="325"/>
    </row>
    <row r="7" spans="1:20" ht="27" customHeight="1" x14ac:dyDescent="0.25">
      <c r="A7" s="322" t="s">
        <v>9</v>
      </c>
      <c r="B7" s="322"/>
      <c r="C7" s="326">
        <v>10000000</v>
      </c>
      <c r="D7" s="326"/>
      <c r="E7" s="326"/>
      <c r="F7" s="325"/>
      <c r="G7" s="325"/>
      <c r="H7" s="325"/>
      <c r="I7" s="325"/>
      <c r="J7" s="325"/>
      <c r="K7" s="325"/>
      <c r="M7">
        <v>0</v>
      </c>
      <c r="S7">
        <v>0</v>
      </c>
      <c r="T7">
        <v>0</v>
      </c>
    </row>
    <row r="8" spans="1:20" ht="27.95" customHeight="1" x14ac:dyDescent="0.25">
      <c r="A8" s="322" t="s">
        <v>10</v>
      </c>
      <c r="B8" s="322"/>
      <c r="C8" s="327">
        <v>0.08</v>
      </c>
      <c r="D8" s="327"/>
      <c r="E8" s="327"/>
      <c r="F8" s="325"/>
      <c r="G8" s="325"/>
      <c r="H8" s="325"/>
      <c r="I8" s="325"/>
      <c r="J8" s="325"/>
      <c r="K8" s="325"/>
    </row>
    <row r="9" spans="1:20" ht="33.950000000000003" customHeight="1" x14ac:dyDescent="0.55000000000000004">
      <c r="A9" s="328" t="s">
        <v>11</v>
      </c>
      <c r="B9" s="328"/>
      <c r="C9" s="323">
        <v>24</v>
      </c>
      <c r="D9" s="323"/>
      <c r="E9" s="323"/>
      <c r="F9" s="329" t="s">
        <v>253</v>
      </c>
      <c r="G9" s="329"/>
      <c r="H9" s="329"/>
      <c r="I9" s="329"/>
      <c r="J9" s="329"/>
      <c r="K9" s="329"/>
    </row>
    <row r="10" spans="1:20" ht="24" customHeight="1" x14ac:dyDescent="0.25">
      <c r="A10" s="330" t="s">
        <v>12</v>
      </c>
      <c r="B10" s="330"/>
      <c r="C10" s="330"/>
      <c r="D10" s="330"/>
      <c r="E10" s="330"/>
      <c r="F10" s="331" t="s">
        <v>1</v>
      </c>
      <c r="G10" s="331"/>
      <c r="H10" s="331"/>
      <c r="I10" s="331"/>
      <c r="J10" s="331"/>
      <c r="K10" s="331"/>
    </row>
    <row r="11" spans="1:20" ht="24" customHeight="1" x14ac:dyDescent="0.25">
      <c r="A11" s="332" t="s">
        <v>297</v>
      </c>
      <c r="B11" s="332"/>
      <c r="C11" s="332"/>
      <c r="D11" s="333">
        <v>2025</v>
      </c>
      <c r="E11" s="333"/>
      <c r="F11" s="331"/>
      <c r="G11" s="331"/>
      <c r="H11" s="331"/>
      <c r="I11" s="331"/>
      <c r="J11" s="331"/>
      <c r="K11" s="331"/>
    </row>
    <row r="12" spans="1:20" ht="18" customHeight="1" x14ac:dyDescent="0.25">
      <c r="A12" s="334" t="s">
        <v>298</v>
      </c>
      <c r="B12" s="334"/>
      <c r="C12" s="334"/>
      <c r="D12" s="334"/>
      <c r="E12" s="334"/>
      <c r="F12" s="331"/>
      <c r="G12" s="331"/>
      <c r="H12" s="331"/>
      <c r="I12" s="331"/>
      <c r="J12" s="331"/>
      <c r="K12" s="331"/>
    </row>
    <row r="13" spans="1:20" ht="15.75" x14ac:dyDescent="0.25">
      <c r="A13" s="6" t="s">
        <v>13</v>
      </c>
      <c r="B13" s="6" t="s">
        <v>14</v>
      </c>
      <c r="C13" s="6" t="s">
        <v>15</v>
      </c>
      <c r="D13" s="6" t="s">
        <v>16</v>
      </c>
      <c r="E13" s="6" t="s">
        <v>299</v>
      </c>
      <c r="F13" s="331"/>
      <c r="G13" s="331"/>
      <c r="H13" s="331"/>
      <c r="I13" s="331"/>
      <c r="J13" s="331"/>
      <c r="K13" s="331"/>
    </row>
    <row r="14" spans="1:20" ht="36" customHeight="1" x14ac:dyDescent="0.25">
      <c r="A14" s="7">
        <v>2026</v>
      </c>
      <c r="B14" s="7">
        <v>2027</v>
      </c>
      <c r="C14" s="7">
        <v>2028</v>
      </c>
      <c r="D14" s="7">
        <v>2029</v>
      </c>
      <c r="E14" s="7">
        <v>2030</v>
      </c>
      <c r="F14" s="331"/>
      <c r="G14" s="331"/>
      <c r="H14" s="331"/>
      <c r="I14" s="331"/>
      <c r="J14" s="331"/>
      <c r="K14" s="331"/>
    </row>
  </sheetData>
  <mergeCells count="23">
    <mergeCell ref="A9:B9"/>
    <mergeCell ref="C9:E9"/>
    <mergeCell ref="F9:K9"/>
    <mergeCell ref="A10:E10"/>
    <mergeCell ref="F10:K14"/>
    <mergeCell ref="A11:C11"/>
    <mergeCell ref="D11:E11"/>
    <mergeCell ref="A12:E12"/>
    <mergeCell ref="A6:B6"/>
    <mergeCell ref="C6:E6"/>
    <mergeCell ref="F6:K8"/>
    <mergeCell ref="A7:B7"/>
    <mergeCell ref="C7:E7"/>
    <mergeCell ref="A8:B8"/>
    <mergeCell ref="C8:E8"/>
    <mergeCell ref="A1:E2"/>
    <mergeCell ref="F1:K5"/>
    <mergeCell ref="A3:B3"/>
    <mergeCell ref="C3:E3"/>
    <mergeCell ref="A4:B4"/>
    <mergeCell ref="C4:E4"/>
    <mergeCell ref="A5:B5"/>
    <mergeCell ref="C5:E5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zoomScale="25" zoomScaleNormal="25" workbookViewId="0">
      <selection sqref="A1:F1"/>
    </sheetView>
  </sheetViews>
  <sheetFormatPr baseColWidth="10" defaultRowHeight="15" x14ac:dyDescent="0.25"/>
  <cols>
    <col min="1" max="1" width="11.28515625" customWidth="1"/>
    <col min="2" max="2" width="20.140625" customWidth="1"/>
    <col min="3" max="3" width="26.7109375" customWidth="1"/>
    <col min="4" max="4" width="20.42578125" customWidth="1"/>
    <col min="5" max="5" width="20.5703125" customWidth="1"/>
    <col min="6" max="6" width="20.7109375" customWidth="1"/>
    <col min="7" max="7" width="11.42578125" customWidth="1"/>
  </cols>
  <sheetData>
    <row r="1" spans="1:6" ht="51" customHeight="1" x14ac:dyDescent="0.25">
      <c r="A1" s="335" t="s">
        <v>25</v>
      </c>
      <c r="B1" s="335"/>
      <c r="C1" s="335"/>
      <c r="D1" s="335"/>
      <c r="E1" s="335"/>
      <c r="F1" s="335"/>
    </row>
    <row r="2" spans="1:6" ht="36" customHeight="1" x14ac:dyDescent="0.25">
      <c r="A2" s="20"/>
      <c r="B2" s="20"/>
      <c r="C2" s="21" t="s">
        <v>26</v>
      </c>
      <c r="D2" s="22">
        <f>BASE_INFORMATION!C9</f>
        <v>24</v>
      </c>
      <c r="E2" s="23" t="s">
        <v>27</v>
      </c>
      <c r="F2" s="24">
        <f>BASE_INFORMATION!C8</f>
        <v>0.08</v>
      </c>
    </row>
    <row r="3" spans="1:6" ht="24.95" customHeight="1" x14ac:dyDescent="0.25">
      <c r="A3" s="25" t="s">
        <v>28</v>
      </c>
      <c r="B3" s="26" t="s">
        <v>29</v>
      </c>
      <c r="C3" s="25" t="s">
        <v>30</v>
      </c>
      <c r="D3" s="25" t="s">
        <v>21</v>
      </c>
      <c r="E3" s="25" t="s">
        <v>22</v>
      </c>
      <c r="F3" s="25" t="s">
        <v>31</v>
      </c>
    </row>
    <row r="4" spans="1:6" ht="18" customHeight="1" x14ac:dyDescent="0.25">
      <c r="A4" s="336" t="s">
        <v>24</v>
      </c>
      <c r="B4" s="336"/>
      <c r="C4" s="27">
        <f>BASE_INFORMATION!C7:E7</f>
        <v>10000000</v>
      </c>
      <c r="D4" s="28" t="s">
        <v>32</v>
      </c>
      <c r="E4" s="27" t="s">
        <v>32</v>
      </c>
      <c r="F4" s="27" t="s">
        <v>32</v>
      </c>
    </row>
    <row r="5" spans="1:6" ht="18" customHeight="1" x14ac:dyDescent="0.25">
      <c r="A5" s="337">
        <f>+'TABl-Amort-Annuel-Emprt'!A6</f>
        <v>2026</v>
      </c>
      <c r="B5" s="29" t="s">
        <v>33</v>
      </c>
      <c r="C5" s="28">
        <f>+C4</f>
        <v>10000000</v>
      </c>
      <c r="D5" s="28">
        <f t="shared" ref="D5:D16" si="0">$C$4/$D$2</f>
        <v>416666.66666666669</v>
      </c>
      <c r="E5" s="28">
        <f t="shared" ref="E5:E16" si="1">+C5*$F$2/12</f>
        <v>66666.666666666672</v>
      </c>
      <c r="F5" s="28">
        <f t="shared" ref="F5:F16" si="2">+D5+E5</f>
        <v>483333.33333333337</v>
      </c>
    </row>
    <row r="6" spans="1:6" ht="18" customHeight="1" x14ac:dyDescent="0.25">
      <c r="A6" s="337"/>
      <c r="B6" s="29" t="s">
        <v>34</v>
      </c>
      <c r="C6" s="28">
        <f t="shared" ref="C6:C16" si="3">C5-D5</f>
        <v>9583333.333333334</v>
      </c>
      <c r="D6" s="28">
        <f t="shared" si="0"/>
        <v>416666.66666666669</v>
      </c>
      <c r="E6" s="28">
        <f t="shared" si="1"/>
        <v>63888.888888888898</v>
      </c>
      <c r="F6" s="28">
        <f t="shared" si="2"/>
        <v>480555.55555555556</v>
      </c>
    </row>
    <row r="7" spans="1:6" ht="21.95" customHeight="1" x14ac:dyDescent="0.25">
      <c r="A7" s="337"/>
      <c r="B7" s="29" t="s">
        <v>35</v>
      </c>
      <c r="C7" s="28">
        <f t="shared" si="3"/>
        <v>9166666.6666666679</v>
      </c>
      <c r="D7" s="28">
        <f t="shared" si="0"/>
        <v>416666.66666666669</v>
      </c>
      <c r="E7" s="28">
        <f t="shared" si="1"/>
        <v>61111.111111111124</v>
      </c>
      <c r="F7" s="28">
        <f t="shared" si="2"/>
        <v>477777.77777777781</v>
      </c>
    </row>
    <row r="8" spans="1:6" ht="15" customHeight="1" x14ac:dyDescent="0.25">
      <c r="A8" s="337"/>
      <c r="B8" s="29" t="s">
        <v>36</v>
      </c>
      <c r="C8" s="28">
        <f t="shared" si="3"/>
        <v>8750000.0000000019</v>
      </c>
      <c r="D8" s="28">
        <f t="shared" si="0"/>
        <v>416666.66666666669</v>
      </c>
      <c r="E8" s="28">
        <f t="shared" si="1"/>
        <v>58333.333333333343</v>
      </c>
      <c r="F8" s="28">
        <f t="shared" si="2"/>
        <v>475000</v>
      </c>
    </row>
    <row r="9" spans="1:6" ht="18.95" customHeight="1" x14ac:dyDescent="0.25">
      <c r="A9" s="337"/>
      <c r="B9" s="29" t="s">
        <v>37</v>
      </c>
      <c r="C9" s="28">
        <f t="shared" si="3"/>
        <v>8333333.3333333349</v>
      </c>
      <c r="D9" s="28">
        <f t="shared" si="0"/>
        <v>416666.66666666669</v>
      </c>
      <c r="E9" s="28">
        <f t="shared" si="1"/>
        <v>55555.555555555569</v>
      </c>
      <c r="F9" s="28">
        <f t="shared" si="2"/>
        <v>472222.22222222225</v>
      </c>
    </row>
    <row r="10" spans="1:6" ht="18" customHeight="1" x14ac:dyDescent="0.25">
      <c r="A10" s="337"/>
      <c r="B10" s="29" t="s">
        <v>38</v>
      </c>
      <c r="C10" s="28">
        <f t="shared" si="3"/>
        <v>7916666.6666666679</v>
      </c>
      <c r="D10" s="28">
        <f t="shared" si="0"/>
        <v>416666.66666666669</v>
      </c>
      <c r="E10" s="28">
        <f t="shared" si="1"/>
        <v>52777.777777777788</v>
      </c>
      <c r="F10" s="28">
        <f t="shared" si="2"/>
        <v>469444.4444444445</v>
      </c>
    </row>
    <row r="11" spans="1:6" ht="17.100000000000001" customHeight="1" x14ac:dyDescent="0.25">
      <c r="A11" s="337"/>
      <c r="B11" s="29" t="s">
        <v>39</v>
      </c>
      <c r="C11" s="28">
        <f t="shared" si="3"/>
        <v>7500000.0000000009</v>
      </c>
      <c r="D11" s="28">
        <f t="shared" si="0"/>
        <v>416666.66666666669</v>
      </c>
      <c r="E11" s="28">
        <f t="shared" si="1"/>
        <v>50000.000000000007</v>
      </c>
      <c r="F11" s="28">
        <f t="shared" si="2"/>
        <v>466666.66666666669</v>
      </c>
    </row>
    <row r="12" spans="1:6" ht="18" customHeight="1" x14ac:dyDescent="0.25">
      <c r="A12" s="337"/>
      <c r="B12" s="29" t="s">
        <v>40</v>
      </c>
      <c r="C12" s="28">
        <f t="shared" si="3"/>
        <v>7083333.333333334</v>
      </c>
      <c r="D12" s="28">
        <f t="shared" si="0"/>
        <v>416666.66666666669</v>
      </c>
      <c r="E12" s="28">
        <f t="shared" si="1"/>
        <v>47222.222222222226</v>
      </c>
      <c r="F12" s="28">
        <f t="shared" si="2"/>
        <v>463888.88888888893</v>
      </c>
    </row>
    <row r="13" spans="1:6" ht="15.95" customHeight="1" x14ac:dyDescent="0.25">
      <c r="A13" s="337"/>
      <c r="B13" s="29" t="s">
        <v>41</v>
      </c>
      <c r="C13" s="28">
        <f t="shared" si="3"/>
        <v>6666666.666666667</v>
      </c>
      <c r="D13" s="28">
        <f t="shared" si="0"/>
        <v>416666.66666666669</v>
      </c>
      <c r="E13" s="28">
        <f t="shared" si="1"/>
        <v>44444.444444444445</v>
      </c>
      <c r="F13" s="28">
        <f t="shared" si="2"/>
        <v>461111.11111111112</v>
      </c>
    </row>
    <row r="14" spans="1:6" ht="17.100000000000001" customHeight="1" x14ac:dyDescent="0.25">
      <c r="A14" s="337"/>
      <c r="B14" s="29" t="s">
        <v>42</v>
      </c>
      <c r="C14" s="28">
        <f t="shared" si="3"/>
        <v>6250000</v>
      </c>
      <c r="D14" s="28">
        <f t="shared" si="0"/>
        <v>416666.66666666669</v>
      </c>
      <c r="E14" s="28">
        <f t="shared" si="1"/>
        <v>41666.666666666664</v>
      </c>
      <c r="F14" s="28">
        <f t="shared" si="2"/>
        <v>458333.33333333337</v>
      </c>
    </row>
    <row r="15" spans="1:6" ht="15.95" customHeight="1" x14ac:dyDescent="0.25">
      <c r="A15" s="337"/>
      <c r="B15" s="29" t="s">
        <v>43</v>
      </c>
      <c r="C15" s="28">
        <f t="shared" si="3"/>
        <v>5833333.333333333</v>
      </c>
      <c r="D15" s="28">
        <f t="shared" si="0"/>
        <v>416666.66666666669</v>
      </c>
      <c r="E15" s="28">
        <f t="shared" si="1"/>
        <v>38888.888888888883</v>
      </c>
      <c r="F15" s="28">
        <f t="shared" si="2"/>
        <v>455555.55555555556</v>
      </c>
    </row>
    <row r="16" spans="1:6" ht="17.100000000000001" customHeight="1" x14ac:dyDescent="0.25">
      <c r="A16" s="337"/>
      <c r="B16" s="30" t="s">
        <v>44</v>
      </c>
      <c r="C16" s="31">
        <f t="shared" si="3"/>
        <v>5416666.666666666</v>
      </c>
      <c r="D16" s="28">
        <f t="shared" si="0"/>
        <v>416666.66666666669</v>
      </c>
      <c r="E16" s="28">
        <f t="shared" si="1"/>
        <v>36111.111111111109</v>
      </c>
      <c r="F16" s="31">
        <f t="shared" si="2"/>
        <v>452777.77777777781</v>
      </c>
    </row>
    <row r="17" spans="1:6" ht="21" customHeight="1" x14ac:dyDescent="0.25">
      <c r="A17" s="338" t="s">
        <v>24</v>
      </c>
      <c r="B17" s="338"/>
      <c r="C17" s="32">
        <f>+C16</f>
        <v>5416666.666666666</v>
      </c>
      <c r="D17" s="32">
        <f>SUM(D5:D16)</f>
        <v>5000000</v>
      </c>
      <c r="E17" s="32">
        <f>SUM(E5:E16)</f>
        <v>616666.66666666674</v>
      </c>
      <c r="F17" s="33">
        <f>SUM(F4:F16)</f>
        <v>5616666.666666667</v>
      </c>
    </row>
    <row r="18" spans="1:6" ht="15.75" x14ac:dyDescent="0.25">
      <c r="A18" s="339">
        <f>+'TABl-Amort-Annuel-Emprt'!A7</f>
        <v>2027</v>
      </c>
      <c r="B18" s="34" t="s">
        <v>33</v>
      </c>
      <c r="C18" s="35">
        <f>C16-D16</f>
        <v>4999999.9999999991</v>
      </c>
      <c r="D18" s="35">
        <f t="shared" ref="D18:D29" si="4">$C$4/$D$2</f>
        <v>416666.66666666669</v>
      </c>
      <c r="E18" s="31">
        <f t="shared" ref="E18:E29" si="5">+C18*$F$2/12</f>
        <v>33333.333333333328</v>
      </c>
      <c r="F18" s="31">
        <f t="shared" ref="F18:F49" si="6">+D18+E18</f>
        <v>450000</v>
      </c>
    </row>
    <row r="19" spans="1:6" ht="15.75" x14ac:dyDescent="0.25">
      <c r="A19" s="339"/>
      <c r="B19" s="36" t="s">
        <v>34</v>
      </c>
      <c r="C19" s="28">
        <f t="shared" ref="C19:C29" si="7">+C18-D18</f>
        <v>4583333.3333333321</v>
      </c>
      <c r="D19" s="35">
        <f t="shared" si="4"/>
        <v>416666.66666666669</v>
      </c>
      <c r="E19" s="31">
        <f t="shared" si="5"/>
        <v>30555.555555555547</v>
      </c>
      <c r="F19" s="31">
        <f t="shared" si="6"/>
        <v>447222.22222222225</v>
      </c>
    </row>
    <row r="20" spans="1:6" ht="15.75" x14ac:dyDescent="0.25">
      <c r="A20" s="339"/>
      <c r="B20" s="36" t="s">
        <v>35</v>
      </c>
      <c r="C20" s="28">
        <f t="shared" si="7"/>
        <v>4166666.6666666656</v>
      </c>
      <c r="D20" s="35">
        <f t="shared" si="4"/>
        <v>416666.66666666669</v>
      </c>
      <c r="E20" s="31">
        <f t="shared" si="5"/>
        <v>27777.77777777777</v>
      </c>
      <c r="F20" s="31">
        <f t="shared" si="6"/>
        <v>444444.44444444444</v>
      </c>
    </row>
    <row r="21" spans="1:6" ht="15.75" x14ac:dyDescent="0.25">
      <c r="A21" s="339"/>
      <c r="B21" s="36" t="s">
        <v>36</v>
      </c>
      <c r="C21" s="28">
        <f t="shared" si="7"/>
        <v>3749999.9999999991</v>
      </c>
      <c r="D21" s="35">
        <f t="shared" si="4"/>
        <v>416666.66666666669</v>
      </c>
      <c r="E21" s="31">
        <f t="shared" si="5"/>
        <v>24999.999999999996</v>
      </c>
      <c r="F21" s="31">
        <f t="shared" si="6"/>
        <v>441666.66666666669</v>
      </c>
    </row>
    <row r="22" spans="1:6" ht="15.75" x14ac:dyDescent="0.25">
      <c r="A22" s="339"/>
      <c r="B22" s="36" t="s">
        <v>37</v>
      </c>
      <c r="C22" s="28">
        <f t="shared" si="7"/>
        <v>3333333.3333333326</v>
      </c>
      <c r="D22" s="35">
        <f t="shared" si="4"/>
        <v>416666.66666666669</v>
      </c>
      <c r="E22" s="31">
        <f t="shared" si="5"/>
        <v>22222.222222222219</v>
      </c>
      <c r="F22" s="31">
        <f t="shared" si="6"/>
        <v>438888.88888888888</v>
      </c>
    </row>
    <row r="23" spans="1:6" ht="15.75" x14ac:dyDescent="0.25">
      <c r="A23" s="339"/>
      <c r="B23" s="36" t="s">
        <v>38</v>
      </c>
      <c r="C23" s="28">
        <f t="shared" si="7"/>
        <v>2916666.666666666</v>
      </c>
      <c r="D23" s="35">
        <f t="shared" si="4"/>
        <v>416666.66666666669</v>
      </c>
      <c r="E23" s="31">
        <f t="shared" si="5"/>
        <v>19444.444444444442</v>
      </c>
      <c r="F23" s="31">
        <f t="shared" si="6"/>
        <v>436111.11111111112</v>
      </c>
    </row>
    <row r="24" spans="1:6" ht="15.75" x14ac:dyDescent="0.25">
      <c r="A24" s="339"/>
      <c r="B24" s="36" t="s">
        <v>39</v>
      </c>
      <c r="C24" s="28">
        <f t="shared" si="7"/>
        <v>2499999.9999999995</v>
      </c>
      <c r="D24" s="35">
        <f t="shared" si="4"/>
        <v>416666.66666666669</v>
      </c>
      <c r="E24" s="31">
        <f t="shared" si="5"/>
        <v>16666.666666666664</v>
      </c>
      <c r="F24" s="31">
        <f t="shared" si="6"/>
        <v>433333.33333333337</v>
      </c>
    </row>
    <row r="25" spans="1:6" ht="15.75" x14ac:dyDescent="0.25">
      <c r="A25" s="339"/>
      <c r="B25" s="36" t="s">
        <v>40</v>
      </c>
      <c r="C25" s="28">
        <f t="shared" si="7"/>
        <v>2083333.3333333328</v>
      </c>
      <c r="D25" s="35">
        <f t="shared" si="4"/>
        <v>416666.66666666669</v>
      </c>
      <c r="E25" s="31">
        <f t="shared" si="5"/>
        <v>13888.888888888885</v>
      </c>
      <c r="F25" s="31">
        <f t="shared" si="6"/>
        <v>430555.55555555556</v>
      </c>
    </row>
    <row r="26" spans="1:6" ht="15.75" x14ac:dyDescent="0.25">
      <c r="A26" s="339"/>
      <c r="B26" s="36" t="s">
        <v>41</v>
      </c>
      <c r="C26" s="28">
        <f t="shared" si="7"/>
        <v>1666666.666666666</v>
      </c>
      <c r="D26" s="35">
        <f t="shared" si="4"/>
        <v>416666.66666666669</v>
      </c>
      <c r="E26" s="31">
        <f t="shared" si="5"/>
        <v>11111.111111111108</v>
      </c>
      <c r="F26" s="31">
        <f t="shared" si="6"/>
        <v>427777.77777777781</v>
      </c>
    </row>
    <row r="27" spans="1:6" ht="15.75" x14ac:dyDescent="0.25">
      <c r="A27" s="339"/>
      <c r="B27" s="36" t="s">
        <v>42</v>
      </c>
      <c r="C27" s="28">
        <f t="shared" si="7"/>
        <v>1249999.9999999993</v>
      </c>
      <c r="D27" s="35">
        <f t="shared" si="4"/>
        <v>416666.66666666669</v>
      </c>
      <c r="E27" s="31">
        <f t="shared" si="5"/>
        <v>8333.3333333333285</v>
      </c>
      <c r="F27" s="31">
        <f t="shared" si="6"/>
        <v>425000</v>
      </c>
    </row>
    <row r="28" spans="1:6" ht="15.75" x14ac:dyDescent="0.25">
      <c r="A28" s="339"/>
      <c r="B28" s="36" t="s">
        <v>43</v>
      </c>
      <c r="C28" s="28">
        <f t="shared" si="7"/>
        <v>833333.33333333256</v>
      </c>
      <c r="D28" s="35">
        <f t="shared" si="4"/>
        <v>416666.66666666669</v>
      </c>
      <c r="E28" s="31">
        <f t="shared" si="5"/>
        <v>5555.5555555555502</v>
      </c>
      <c r="F28" s="31">
        <f t="shared" si="6"/>
        <v>422222.22222222225</v>
      </c>
    </row>
    <row r="29" spans="1:6" ht="15.75" x14ac:dyDescent="0.25">
      <c r="A29" s="339"/>
      <c r="B29" s="37" t="s">
        <v>44</v>
      </c>
      <c r="C29" s="31">
        <f t="shared" si="7"/>
        <v>416666.66666666587</v>
      </c>
      <c r="D29" s="35">
        <f t="shared" si="4"/>
        <v>416666.66666666669</v>
      </c>
      <c r="E29" s="31">
        <f t="shared" si="5"/>
        <v>2777.7777777777724</v>
      </c>
      <c r="F29" s="31">
        <f t="shared" si="6"/>
        <v>419444.44444444444</v>
      </c>
    </row>
    <row r="30" spans="1:6" ht="15.75" x14ac:dyDescent="0.25">
      <c r="A30" s="340" t="s">
        <v>24</v>
      </c>
      <c r="B30" s="340"/>
      <c r="C30" s="32">
        <f>+C29</f>
        <v>416666.66666666587</v>
      </c>
      <c r="D30" s="32">
        <f>SUM(D18:D29)</f>
        <v>5000000</v>
      </c>
      <c r="E30" s="32">
        <f>SUM(E18:E29)</f>
        <v>216666.6666666666</v>
      </c>
      <c r="F30" s="33">
        <f t="shared" si="6"/>
        <v>5216666.666666667</v>
      </c>
    </row>
    <row r="31" spans="1:6" ht="15.75" x14ac:dyDescent="0.25">
      <c r="A31" s="339">
        <f>+'TABl-Amort-Annuel-Emprt'!A8</f>
        <v>2028</v>
      </c>
      <c r="B31" s="34" t="s">
        <v>33</v>
      </c>
      <c r="C31" s="35">
        <f>C29-D29</f>
        <v>-8.149072527885437E-10</v>
      </c>
      <c r="D31" s="35">
        <f t="shared" ref="D31:D42" si="8">$C$4/$D$2</f>
        <v>416666.66666666669</v>
      </c>
      <c r="E31" s="31">
        <f t="shared" ref="E31:E42" si="9">+C31*$F$2/12</f>
        <v>-5.4327150185902916E-12</v>
      </c>
      <c r="F31" s="31">
        <f t="shared" si="6"/>
        <v>416666.66666666669</v>
      </c>
    </row>
    <row r="32" spans="1:6" ht="15.75" x14ac:dyDescent="0.25">
      <c r="A32" s="339"/>
      <c r="B32" s="36" t="s">
        <v>34</v>
      </c>
      <c r="C32" s="28">
        <f t="shared" ref="C32:C42" si="10">+C31-D31</f>
        <v>-416666.6666666675</v>
      </c>
      <c r="D32" s="35">
        <f t="shared" si="8"/>
        <v>416666.66666666669</v>
      </c>
      <c r="E32" s="31">
        <f t="shared" si="9"/>
        <v>-2777.7777777777833</v>
      </c>
      <c r="F32" s="31">
        <f t="shared" si="6"/>
        <v>413888.88888888888</v>
      </c>
    </row>
    <row r="33" spans="1:6" ht="15.75" x14ac:dyDescent="0.25">
      <c r="A33" s="339"/>
      <c r="B33" s="36" t="s">
        <v>35</v>
      </c>
      <c r="C33" s="28">
        <f t="shared" si="10"/>
        <v>-833333.33333333419</v>
      </c>
      <c r="D33" s="35">
        <f t="shared" si="8"/>
        <v>416666.66666666669</v>
      </c>
      <c r="E33" s="31">
        <f t="shared" si="9"/>
        <v>-5555.5555555555611</v>
      </c>
      <c r="F33" s="31">
        <f t="shared" si="6"/>
        <v>411111.11111111112</v>
      </c>
    </row>
    <row r="34" spans="1:6" ht="15.75" x14ac:dyDescent="0.25">
      <c r="A34" s="339"/>
      <c r="B34" s="36" t="s">
        <v>36</v>
      </c>
      <c r="C34" s="28">
        <f t="shared" si="10"/>
        <v>-1250000.0000000009</v>
      </c>
      <c r="D34" s="35">
        <f t="shared" si="8"/>
        <v>416666.66666666669</v>
      </c>
      <c r="E34" s="31">
        <f t="shared" si="9"/>
        <v>-8333.3333333333394</v>
      </c>
      <c r="F34" s="31">
        <f t="shared" si="6"/>
        <v>408333.33333333337</v>
      </c>
    </row>
    <row r="35" spans="1:6" ht="15.75" x14ac:dyDescent="0.25">
      <c r="A35" s="339"/>
      <c r="B35" s="36" t="s">
        <v>37</v>
      </c>
      <c r="C35" s="28">
        <f t="shared" si="10"/>
        <v>-1666666.6666666677</v>
      </c>
      <c r="D35" s="35">
        <f t="shared" si="8"/>
        <v>416666.66666666669</v>
      </c>
      <c r="E35" s="31">
        <f t="shared" si="9"/>
        <v>-11111.111111111119</v>
      </c>
      <c r="F35" s="31">
        <f t="shared" si="6"/>
        <v>405555.55555555556</v>
      </c>
    </row>
    <row r="36" spans="1:6" ht="15.75" x14ac:dyDescent="0.25">
      <c r="A36" s="339"/>
      <c r="B36" s="36" t="s">
        <v>38</v>
      </c>
      <c r="C36" s="28">
        <f t="shared" si="10"/>
        <v>-2083333.3333333344</v>
      </c>
      <c r="D36" s="35">
        <f t="shared" si="8"/>
        <v>416666.66666666669</v>
      </c>
      <c r="E36" s="31">
        <f t="shared" si="9"/>
        <v>-13888.888888888896</v>
      </c>
      <c r="F36" s="31">
        <f t="shared" si="6"/>
        <v>402777.77777777781</v>
      </c>
    </row>
    <row r="37" spans="1:6" ht="15.75" x14ac:dyDescent="0.25">
      <c r="A37" s="339"/>
      <c r="B37" s="36" t="s">
        <v>39</v>
      </c>
      <c r="C37" s="28">
        <f t="shared" si="10"/>
        <v>-2500000.0000000009</v>
      </c>
      <c r="D37" s="35">
        <f t="shared" si="8"/>
        <v>416666.66666666669</v>
      </c>
      <c r="E37" s="31">
        <f t="shared" si="9"/>
        <v>-16666.666666666675</v>
      </c>
      <c r="F37" s="31">
        <f t="shared" si="6"/>
        <v>400000</v>
      </c>
    </row>
    <row r="38" spans="1:6" ht="15.75" x14ac:dyDescent="0.25">
      <c r="A38" s="339"/>
      <c r="B38" s="36" t="s">
        <v>40</v>
      </c>
      <c r="C38" s="28">
        <f t="shared" si="10"/>
        <v>-2916666.6666666674</v>
      </c>
      <c r="D38" s="35">
        <f t="shared" si="8"/>
        <v>416666.66666666669</v>
      </c>
      <c r="E38" s="31">
        <f t="shared" si="9"/>
        <v>-19444.444444444449</v>
      </c>
      <c r="F38" s="31">
        <f t="shared" si="6"/>
        <v>397222.22222222225</v>
      </c>
    </row>
    <row r="39" spans="1:6" ht="15.75" x14ac:dyDescent="0.25">
      <c r="A39" s="339"/>
      <c r="B39" s="36" t="s">
        <v>41</v>
      </c>
      <c r="C39" s="28">
        <f t="shared" si="10"/>
        <v>-3333333.333333334</v>
      </c>
      <c r="D39" s="35">
        <f t="shared" si="8"/>
        <v>416666.66666666669</v>
      </c>
      <c r="E39" s="31">
        <f t="shared" si="9"/>
        <v>-22222.22222222223</v>
      </c>
      <c r="F39" s="31">
        <f t="shared" si="6"/>
        <v>394444.44444444444</v>
      </c>
    </row>
    <row r="40" spans="1:6" ht="15.75" x14ac:dyDescent="0.25">
      <c r="A40" s="339"/>
      <c r="B40" s="36" t="s">
        <v>42</v>
      </c>
      <c r="C40" s="28">
        <f t="shared" si="10"/>
        <v>-3750000.0000000005</v>
      </c>
      <c r="D40" s="35">
        <f t="shared" si="8"/>
        <v>416666.66666666669</v>
      </c>
      <c r="E40" s="31">
        <f t="shared" si="9"/>
        <v>-25000.000000000004</v>
      </c>
      <c r="F40" s="31">
        <f t="shared" si="6"/>
        <v>391666.66666666669</v>
      </c>
    </row>
    <row r="41" spans="1:6" ht="15.75" x14ac:dyDescent="0.25">
      <c r="A41" s="339"/>
      <c r="B41" s="36" t="s">
        <v>43</v>
      </c>
      <c r="C41" s="28">
        <f t="shared" si="10"/>
        <v>-4166666.666666667</v>
      </c>
      <c r="D41" s="35">
        <f t="shared" si="8"/>
        <v>416666.66666666669</v>
      </c>
      <c r="E41" s="31">
        <f t="shared" si="9"/>
        <v>-27777.777777777781</v>
      </c>
      <c r="F41" s="31">
        <f t="shared" si="6"/>
        <v>388888.88888888888</v>
      </c>
    </row>
    <row r="42" spans="1:6" ht="15.75" x14ac:dyDescent="0.25">
      <c r="A42" s="339"/>
      <c r="B42" s="37" t="s">
        <v>44</v>
      </c>
      <c r="C42" s="31">
        <f t="shared" si="10"/>
        <v>-4583333.333333334</v>
      </c>
      <c r="D42" s="35">
        <f t="shared" si="8"/>
        <v>416666.66666666669</v>
      </c>
      <c r="E42" s="31">
        <f t="shared" si="9"/>
        <v>-30555.555555555562</v>
      </c>
      <c r="F42" s="31">
        <f t="shared" si="6"/>
        <v>386111.11111111112</v>
      </c>
    </row>
    <row r="43" spans="1:6" ht="15.75" x14ac:dyDescent="0.25">
      <c r="A43" s="340" t="s">
        <v>24</v>
      </c>
      <c r="B43" s="340"/>
      <c r="C43" s="32">
        <f>+C42</f>
        <v>-4583333.333333334</v>
      </c>
      <c r="D43" s="32">
        <f>SUM(D31:D42)</f>
        <v>5000000</v>
      </c>
      <c r="E43" s="32">
        <f>SUM(E31:E42)</f>
        <v>-183333.33333333343</v>
      </c>
      <c r="F43" s="33">
        <f t="shared" si="6"/>
        <v>4816666.666666667</v>
      </c>
    </row>
    <row r="44" spans="1:6" ht="15.75" x14ac:dyDescent="0.25">
      <c r="A44" s="339">
        <f>+'TABl-Amort-Annuel-Emprt'!A9</f>
        <v>2029</v>
      </c>
      <c r="B44" s="34" t="s">
        <v>33</v>
      </c>
      <c r="C44" s="35">
        <f>C42-D42</f>
        <v>-5000000.0000000009</v>
      </c>
      <c r="D44" s="35">
        <f t="shared" ref="D44:D55" si="11">$C$4/$D$2</f>
        <v>416666.66666666669</v>
      </c>
      <c r="E44" s="31">
        <f t="shared" ref="E44:E55" si="12">+C44*$F$2/12</f>
        <v>-33333.333333333336</v>
      </c>
      <c r="F44" s="31">
        <f t="shared" si="6"/>
        <v>383333.33333333337</v>
      </c>
    </row>
    <row r="45" spans="1:6" ht="15.75" x14ac:dyDescent="0.25">
      <c r="A45" s="339"/>
      <c r="B45" s="36" t="s">
        <v>34</v>
      </c>
      <c r="C45" s="28">
        <f t="shared" ref="C45:C55" si="13">+C44-D44</f>
        <v>-5416666.6666666679</v>
      </c>
      <c r="D45" s="35">
        <f t="shared" si="11"/>
        <v>416666.66666666669</v>
      </c>
      <c r="E45" s="31">
        <f t="shared" si="12"/>
        <v>-36111.111111111117</v>
      </c>
      <c r="F45" s="31">
        <f t="shared" si="6"/>
        <v>380555.55555555556</v>
      </c>
    </row>
    <row r="46" spans="1:6" ht="15.75" x14ac:dyDescent="0.25">
      <c r="A46" s="339"/>
      <c r="B46" s="36" t="s">
        <v>35</v>
      </c>
      <c r="C46" s="28">
        <f t="shared" si="13"/>
        <v>-5833333.3333333349</v>
      </c>
      <c r="D46" s="35">
        <f t="shared" si="11"/>
        <v>416666.66666666669</v>
      </c>
      <c r="E46" s="31">
        <f t="shared" si="12"/>
        <v>-38888.888888888898</v>
      </c>
      <c r="F46" s="31">
        <f t="shared" si="6"/>
        <v>377777.77777777781</v>
      </c>
    </row>
    <row r="47" spans="1:6" ht="15.75" x14ac:dyDescent="0.25">
      <c r="A47" s="339"/>
      <c r="B47" s="36" t="s">
        <v>36</v>
      </c>
      <c r="C47" s="28">
        <f t="shared" si="13"/>
        <v>-6250000.0000000019</v>
      </c>
      <c r="D47" s="35">
        <f t="shared" si="11"/>
        <v>416666.66666666669</v>
      </c>
      <c r="E47" s="31">
        <f t="shared" si="12"/>
        <v>-41666.666666666679</v>
      </c>
      <c r="F47" s="31">
        <f t="shared" si="6"/>
        <v>375000</v>
      </c>
    </row>
    <row r="48" spans="1:6" ht="15.75" x14ac:dyDescent="0.25">
      <c r="A48" s="339"/>
      <c r="B48" s="36" t="s">
        <v>37</v>
      </c>
      <c r="C48" s="28">
        <f t="shared" si="13"/>
        <v>-6666666.6666666688</v>
      </c>
      <c r="D48" s="35">
        <f t="shared" si="11"/>
        <v>416666.66666666669</v>
      </c>
      <c r="E48" s="31">
        <f t="shared" si="12"/>
        <v>-44444.44444444446</v>
      </c>
      <c r="F48" s="31">
        <f t="shared" si="6"/>
        <v>372222.22222222225</v>
      </c>
    </row>
    <row r="49" spans="1:6" ht="15.75" x14ac:dyDescent="0.25">
      <c r="A49" s="339"/>
      <c r="B49" s="36" t="s">
        <v>38</v>
      </c>
      <c r="C49" s="28">
        <f t="shared" si="13"/>
        <v>-7083333.3333333358</v>
      </c>
      <c r="D49" s="35">
        <f t="shared" si="11"/>
        <v>416666.66666666669</v>
      </c>
      <c r="E49" s="31">
        <f t="shared" si="12"/>
        <v>-47222.222222222241</v>
      </c>
      <c r="F49" s="31">
        <f t="shared" si="6"/>
        <v>369444.44444444444</v>
      </c>
    </row>
    <row r="50" spans="1:6" ht="15.75" x14ac:dyDescent="0.25">
      <c r="A50" s="339"/>
      <c r="B50" s="36" t="s">
        <v>39</v>
      </c>
      <c r="C50" s="28">
        <f t="shared" si="13"/>
        <v>-7500000.0000000028</v>
      </c>
      <c r="D50" s="35">
        <f t="shared" si="11"/>
        <v>416666.66666666669</v>
      </c>
      <c r="E50" s="31">
        <f t="shared" si="12"/>
        <v>-50000.000000000022</v>
      </c>
      <c r="F50" s="31">
        <f t="shared" ref="F50:F81" si="14">+D50+E50</f>
        <v>366666.66666666669</v>
      </c>
    </row>
    <row r="51" spans="1:6" ht="15.75" x14ac:dyDescent="0.25">
      <c r="A51" s="339"/>
      <c r="B51" s="36" t="s">
        <v>40</v>
      </c>
      <c r="C51" s="28">
        <f t="shared" si="13"/>
        <v>-7916666.6666666698</v>
      </c>
      <c r="D51" s="35">
        <f t="shared" si="11"/>
        <v>416666.66666666669</v>
      </c>
      <c r="E51" s="31">
        <f t="shared" si="12"/>
        <v>-52777.777777777803</v>
      </c>
      <c r="F51" s="31">
        <f t="shared" si="14"/>
        <v>363888.88888888888</v>
      </c>
    </row>
    <row r="52" spans="1:6" ht="15.75" x14ac:dyDescent="0.25">
      <c r="A52" s="339"/>
      <c r="B52" s="36" t="s">
        <v>41</v>
      </c>
      <c r="C52" s="28">
        <f t="shared" si="13"/>
        <v>-8333333.3333333367</v>
      </c>
      <c r="D52" s="35">
        <f t="shared" si="11"/>
        <v>416666.66666666669</v>
      </c>
      <c r="E52" s="31">
        <f t="shared" si="12"/>
        <v>-55555.555555555584</v>
      </c>
      <c r="F52" s="31">
        <f t="shared" si="14"/>
        <v>361111.11111111112</v>
      </c>
    </row>
    <row r="53" spans="1:6" ht="15.75" x14ac:dyDescent="0.25">
      <c r="A53" s="339"/>
      <c r="B53" s="36" t="s">
        <v>42</v>
      </c>
      <c r="C53" s="28">
        <f t="shared" si="13"/>
        <v>-8750000.0000000037</v>
      </c>
      <c r="D53" s="35">
        <f t="shared" si="11"/>
        <v>416666.66666666669</v>
      </c>
      <c r="E53" s="31">
        <f t="shared" si="12"/>
        <v>-58333.333333333365</v>
      </c>
      <c r="F53" s="31">
        <f t="shared" si="14"/>
        <v>358333.33333333331</v>
      </c>
    </row>
    <row r="54" spans="1:6" ht="15.75" x14ac:dyDescent="0.25">
      <c r="A54" s="339"/>
      <c r="B54" s="36" t="s">
        <v>43</v>
      </c>
      <c r="C54" s="28">
        <f t="shared" si="13"/>
        <v>-9166666.6666666698</v>
      </c>
      <c r="D54" s="35">
        <f t="shared" si="11"/>
        <v>416666.66666666669</v>
      </c>
      <c r="E54" s="31">
        <f t="shared" si="12"/>
        <v>-61111.111111111131</v>
      </c>
      <c r="F54" s="31">
        <f t="shared" si="14"/>
        <v>355555.55555555556</v>
      </c>
    </row>
    <row r="55" spans="1:6" ht="15.75" x14ac:dyDescent="0.25">
      <c r="A55" s="339"/>
      <c r="B55" s="37" t="s">
        <v>44</v>
      </c>
      <c r="C55" s="31">
        <f t="shared" si="13"/>
        <v>-9583333.3333333358</v>
      </c>
      <c r="D55" s="35">
        <f t="shared" si="11"/>
        <v>416666.66666666669</v>
      </c>
      <c r="E55" s="31">
        <f t="shared" si="12"/>
        <v>-63888.888888888905</v>
      </c>
      <c r="F55" s="31">
        <f t="shared" si="14"/>
        <v>352777.77777777775</v>
      </c>
    </row>
    <row r="56" spans="1:6" ht="15.75" x14ac:dyDescent="0.25">
      <c r="A56" s="340" t="s">
        <v>24</v>
      </c>
      <c r="B56" s="340"/>
      <c r="C56" s="32">
        <f>+C55</f>
        <v>-9583333.3333333358</v>
      </c>
      <c r="D56" s="32">
        <f>SUM(D44:D55)</f>
        <v>5000000</v>
      </c>
      <c r="E56" s="32">
        <f>SUM(E44:E55)</f>
        <v>-583333.33333333349</v>
      </c>
      <c r="F56" s="33">
        <f t="shared" si="14"/>
        <v>4416666.666666666</v>
      </c>
    </row>
    <row r="57" spans="1:6" ht="15.75" x14ac:dyDescent="0.25">
      <c r="A57" s="339">
        <f>+'TABl-Amort-Annuel-Emprt'!A10</f>
        <v>2030</v>
      </c>
      <c r="B57" s="34" t="s">
        <v>33</v>
      </c>
      <c r="C57" s="35">
        <f>C55-D55</f>
        <v>-10000000.000000002</v>
      </c>
      <c r="D57" s="35">
        <f t="shared" ref="D57:D68" si="15">$C$4/$D$2</f>
        <v>416666.66666666669</v>
      </c>
      <c r="E57" s="31">
        <f t="shared" ref="E57:E68" si="16">+C57*$F$2/12</f>
        <v>-66666.666666666672</v>
      </c>
      <c r="F57" s="31">
        <f t="shared" si="14"/>
        <v>350000</v>
      </c>
    </row>
    <row r="58" spans="1:6" ht="15.75" x14ac:dyDescent="0.25">
      <c r="A58" s="339"/>
      <c r="B58" s="36" t="s">
        <v>34</v>
      </c>
      <c r="C58" s="28">
        <f t="shared" ref="C58:C68" si="17">+C57-D57</f>
        <v>-10416666.666666668</v>
      </c>
      <c r="D58" s="35">
        <f t="shared" si="15"/>
        <v>416666.66666666669</v>
      </c>
      <c r="E58" s="31">
        <f t="shared" si="16"/>
        <v>-69444.444444444453</v>
      </c>
      <c r="F58" s="31">
        <f t="shared" si="14"/>
        <v>347222.22222222225</v>
      </c>
    </row>
    <row r="59" spans="1:6" ht="15.75" x14ac:dyDescent="0.25">
      <c r="A59" s="339"/>
      <c r="B59" s="36" t="s">
        <v>35</v>
      </c>
      <c r="C59" s="28">
        <f t="shared" si="17"/>
        <v>-10833333.333333334</v>
      </c>
      <c r="D59" s="35">
        <f t="shared" si="15"/>
        <v>416666.66666666669</v>
      </c>
      <c r="E59" s="31">
        <f t="shared" si="16"/>
        <v>-72222.222222222234</v>
      </c>
      <c r="F59" s="31">
        <f t="shared" si="14"/>
        <v>344444.44444444444</v>
      </c>
    </row>
    <row r="60" spans="1:6" ht="15.75" x14ac:dyDescent="0.25">
      <c r="A60" s="339"/>
      <c r="B60" s="36" t="s">
        <v>36</v>
      </c>
      <c r="C60" s="28">
        <f t="shared" si="17"/>
        <v>-11250000</v>
      </c>
      <c r="D60" s="35">
        <f t="shared" si="15"/>
        <v>416666.66666666669</v>
      </c>
      <c r="E60" s="31">
        <f t="shared" si="16"/>
        <v>-75000</v>
      </c>
      <c r="F60" s="31">
        <f t="shared" si="14"/>
        <v>341666.66666666669</v>
      </c>
    </row>
    <row r="61" spans="1:6" ht="15.75" x14ac:dyDescent="0.25">
      <c r="A61" s="339"/>
      <c r="B61" s="36" t="s">
        <v>37</v>
      </c>
      <c r="C61" s="28">
        <f t="shared" si="17"/>
        <v>-11666666.666666666</v>
      </c>
      <c r="D61" s="35">
        <f t="shared" si="15"/>
        <v>416666.66666666669</v>
      </c>
      <c r="E61" s="31">
        <f t="shared" si="16"/>
        <v>-77777.777777777766</v>
      </c>
      <c r="F61" s="31">
        <f t="shared" si="14"/>
        <v>338888.88888888893</v>
      </c>
    </row>
    <row r="62" spans="1:6" ht="15.75" x14ac:dyDescent="0.25">
      <c r="A62" s="339"/>
      <c r="B62" s="36" t="s">
        <v>38</v>
      </c>
      <c r="C62" s="28">
        <f t="shared" si="17"/>
        <v>-12083333.333333332</v>
      </c>
      <c r="D62" s="35">
        <f t="shared" si="15"/>
        <v>416666.66666666669</v>
      </c>
      <c r="E62" s="31">
        <f t="shared" si="16"/>
        <v>-80555.555555555547</v>
      </c>
      <c r="F62" s="31">
        <f t="shared" si="14"/>
        <v>336111.11111111112</v>
      </c>
    </row>
    <row r="63" spans="1:6" ht="15.75" x14ac:dyDescent="0.25">
      <c r="A63" s="339"/>
      <c r="B63" s="36" t="s">
        <v>39</v>
      </c>
      <c r="C63" s="28">
        <f t="shared" si="17"/>
        <v>-12499999.999999998</v>
      </c>
      <c r="D63" s="35">
        <f t="shared" si="15"/>
        <v>416666.66666666669</v>
      </c>
      <c r="E63" s="31">
        <f t="shared" si="16"/>
        <v>-83333.333333333328</v>
      </c>
      <c r="F63" s="31">
        <f t="shared" si="14"/>
        <v>333333.33333333337</v>
      </c>
    </row>
    <row r="64" spans="1:6" ht="15.75" x14ac:dyDescent="0.25">
      <c r="A64" s="339"/>
      <c r="B64" s="36" t="s">
        <v>40</v>
      </c>
      <c r="C64" s="28">
        <f t="shared" si="17"/>
        <v>-12916666.666666664</v>
      </c>
      <c r="D64" s="35">
        <f t="shared" si="15"/>
        <v>416666.66666666669</v>
      </c>
      <c r="E64" s="31">
        <f t="shared" si="16"/>
        <v>-86111.111111111095</v>
      </c>
      <c r="F64" s="31">
        <f t="shared" si="14"/>
        <v>330555.55555555562</v>
      </c>
    </row>
    <row r="65" spans="1:6" ht="15.75" x14ac:dyDescent="0.25">
      <c r="A65" s="339"/>
      <c r="B65" s="36" t="s">
        <v>41</v>
      </c>
      <c r="C65" s="28">
        <f t="shared" si="17"/>
        <v>-13333333.33333333</v>
      </c>
      <c r="D65" s="35">
        <f t="shared" si="15"/>
        <v>416666.66666666669</v>
      </c>
      <c r="E65" s="31">
        <f t="shared" si="16"/>
        <v>-88888.888888888876</v>
      </c>
      <c r="F65" s="31">
        <f t="shared" si="14"/>
        <v>327777.77777777781</v>
      </c>
    </row>
    <row r="66" spans="1:6" ht="15.75" x14ac:dyDescent="0.25">
      <c r="A66" s="339"/>
      <c r="B66" s="36" t="s">
        <v>42</v>
      </c>
      <c r="C66" s="28">
        <f t="shared" si="17"/>
        <v>-13749999.999999996</v>
      </c>
      <c r="D66" s="35">
        <f t="shared" si="15"/>
        <v>416666.66666666669</v>
      </c>
      <c r="E66" s="31">
        <f t="shared" si="16"/>
        <v>-91666.666666666642</v>
      </c>
      <c r="F66" s="31">
        <f t="shared" si="14"/>
        <v>325000.00000000006</v>
      </c>
    </row>
    <row r="67" spans="1:6" ht="15.75" x14ac:dyDescent="0.25">
      <c r="A67" s="339"/>
      <c r="B67" s="36" t="s">
        <v>43</v>
      </c>
      <c r="C67" s="28">
        <f t="shared" si="17"/>
        <v>-14166666.666666662</v>
      </c>
      <c r="D67" s="35">
        <f t="shared" si="15"/>
        <v>416666.66666666669</v>
      </c>
      <c r="E67" s="31">
        <f t="shared" si="16"/>
        <v>-94444.444444444423</v>
      </c>
      <c r="F67" s="31">
        <f t="shared" si="14"/>
        <v>322222.22222222225</v>
      </c>
    </row>
    <row r="68" spans="1:6" ht="15.75" x14ac:dyDescent="0.25">
      <c r="A68" s="339"/>
      <c r="B68" s="37" t="s">
        <v>44</v>
      </c>
      <c r="C68" s="31">
        <f t="shared" si="17"/>
        <v>-14583333.333333328</v>
      </c>
      <c r="D68" s="35">
        <f t="shared" si="15"/>
        <v>416666.66666666669</v>
      </c>
      <c r="E68" s="31">
        <f t="shared" si="16"/>
        <v>-97222.22222222219</v>
      </c>
      <c r="F68" s="31">
        <f t="shared" si="14"/>
        <v>319444.4444444445</v>
      </c>
    </row>
    <row r="69" spans="1:6" ht="23.1" customHeight="1" x14ac:dyDescent="0.25">
      <c r="A69" s="341" t="s">
        <v>24</v>
      </c>
      <c r="B69" s="341"/>
      <c r="C69" s="32">
        <f>+C68</f>
        <v>-14583333.333333328</v>
      </c>
      <c r="D69" s="32">
        <f>SUM(D57:D68)</f>
        <v>5000000</v>
      </c>
      <c r="E69" s="32">
        <f>SUM(E57:E68)</f>
        <v>-983333.33333333326</v>
      </c>
      <c r="F69" s="33">
        <f t="shared" si="14"/>
        <v>4016666.666666667</v>
      </c>
    </row>
    <row r="70" spans="1:6" ht="36" customHeight="1" x14ac:dyDescent="0.25">
      <c r="A70" s="342" t="s">
        <v>45</v>
      </c>
      <c r="B70" s="342"/>
      <c r="C70" s="342"/>
      <c r="D70" s="38">
        <f>+D69+D56+D43+D30+D17</f>
        <v>25000000</v>
      </c>
      <c r="E70" s="39">
        <f>+E69+E56+E43+E30+E17</f>
        <v>-916666.66666666698</v>
      </c>
      <c r="F70" s="40">
        <f t="shared" si="14"/>
        <v>24083333.333333332</v>
      </c>
    </row>
  </sheetData>
  <mergeCells count="13">
    <mergeCell ref="A57:A68"/>
    <mergeCell ref="A69:B69"/>
    <mergeCell ref="A70:C70"/>
    <mergeCell ref="A30:B30"/>
    <mergeCell ref="A31:A42"/>
    <mergeCell ref="A43:B43"/>
    <mergeCell ref="A44:A55"/>
    <mergeCell ref="A56:B56"/>
    <mergeCell ref="A1:F1"/>
    <mergeCell ref="A4:B4"/>
    <mergeCell ref="A5:A16"/>
    <mergeCell ref="A17:B17"/>
    <mergeCell ref="A18:A29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F14"/>
  <sheetViews>
    <sheetView workbookViewId="0">
      <selection activeCell="E3" sqref="E3"/>
    </sheetView>
  </sheetViews>
  <sheetFormatPr baseColWidth="10" defaultRowHeight="15" x14ac:dyDescent="0.25"/>
  <cols>
    <col min="1" max="1" width="18.42578125" customWidth="1"/>
    <col min="2" max="2" width="40.140625" customWidth="1"/>
    <col min="3" max="3" width="25.28515625" customWidth="1"/>
    <col min="4" max="4" width="22.85546875" customWidth="1"/>
    <col min="5" max="5" width="23.42578125" customWidth="1"/>
    <col min="6" max="6" width="17" customWidth="1"/>
    <col min="7" max="7" width="11.42578125" customWidth="1"/>
  </cols>
  <sheetData>
    <row r="2" spans="1:6" ht="30.95" customHeight="1" x14ac:dyDescent="0.35">
      <c r="A2" s="343" t="s">
        <v>17</v>
      </c>
      <c r="B2" s="343"/>
      <c r="C2" s="343"/>
      <c r="D2" s="8"/>
    </row>
    <row r="3" spans="1:6" ht="18.75" x14ac:dyDescent="0.3">
      <c r="D3" s="9" t="s">
        <v>18</v>
      </c>
      <c r="E3" s="10">
        <f>BASE_INFORMATION!C8</f>
        <v>0.08</v>
      </c>
    </row>
    <row r="5" spans="1:6" ht="33.950000000000003" customHeight="1" x14ac:dyDescent="0.25">
      <c r="A5" s="11" t="s">
        <v>19</v>
      </c>
      <c r="B5" s="12" t="s">
        <v>20</v>
      </c>
      <c r="C5" s="12" t="s">
        <v>21</v>
      </c>
      <c r="D5" s="12" t="s">
        <v>22</v>
      </c>
      <c r="E5" s="13" t="s">
        <v>23</v>
      </c>
    </row>
    <row r="6" spans="1:6" ht="41.1" customHeight="1" x14ac:dyDescent="0.25">
      <c r="A6" s="14">
        <f>+BASE_INFORMATION!A14</f>
        <v>2026</v>
      </c>
      <c r="B6" s="15">
        <f>+'TABL-AMORT-EMPR_-5ans'!C4</f>
        <v>10000000</v>
      </c>
      <c r="C6" s="15">
        <f>+'TABL-AMORT-EMPR_-5ans'!D17</f>
        <v>5000000</v>
      </c>
      <c r="D6" s="15">
        <f>+'TABL-AMORT-EMPR_-5ans'!E17</f>
        <v>616666.66666666674</v>
      </c>
      <c r="E6" s="15">
        <f>+C6+D6</f>
        <v>5616666.666666667</v>
      </c>
    </row>
    <row r="7" spans="1:6" ht="42" customHeight="1" x14ac:dyDescent="0.25">
      <c r="A7" s="16">
        <f>+BASE_INFORMATION!B14</f>
        <v>2027</v>
      </c>
      <c r="B7" s="17">
        <f>+'TABL-AMORT-EMPR_-5ans'!C18</f>
        <v>4999999.9999999991</v>
      </c>
      <c r="C7" s="17">
        <f>+'TABL-AMORT-EMPR_-5ans'!D30</f>
        <v>5000000</v>
      </c>
      <c r="D7" s="17">
        <f>+'TABL-AMORT-EMPR_-5ans'!E30</f>
        <v>216666.6666666666</v>
      </c>
      <c r="E7" s="15">
        <f>+C7+D7</f>
        <v>5216666.666666667</v>
      </c>
    </row>
    <row r="8" spans="1:6" ht="39.950000000000003" customHeight="1" x14ac:dyDescent="0.25">
      <c r="A8" s="16">
        <f>+BASE_INFORMATION!C14</f>
        <v>2028</v>
      </c>
      <c r="B8" s="17">
        <f>+'TABL-AMORT-EMPR_-5ans'!C31</f>
        <v>-8.149072527885437E-10</v>
      </c>
      <c r="C8" s="17">
        <f>+'TABL-AMORT-EMPR_-5ans'!D43</f>
        <v>5000000</v>
      </c>
      <c r="D8" s="17">
        <f>+'TABL-AMORT-EMPR_-5ans'!E43</f>
        <v>-183333.33333333343</v>
      </c>
      <c r="E8" s="15">
        <f>+C8+D8</f>
        <v>4816666.666666667</v>
      </c>
    </row>
    <row r="9" spans="1:6" ht="39.950000000000003" customHeight="1" x14ac:dyDescent="0.25">
      <c r="A9" s="16">
        <f>+BASE_INFORMATION!D14</f>
        <v>2029</v>
      </c>
      <c r="B9" s="17">
        <f>+'TABL-AMORT-EMPR_-5ans'!C44</f>
        <v>-5000000.0000000009</v>
      </c>
      <c r="C9" s="17">
        <f>+'TABL-AMORT-EMPR_-5ans'!D56</f>
        <v>5000000</v>
      </c>
      <c r="D9" s="17">
        <f>+'TABL-AMORT-EMPR_-5ans'!E56</f>
        <v>-583333.33333333349</v>
      </c>
      <c r="E9" s="15">
        <f>+C9+D9</f>
        <v>4416666.666666666</v>
      </c>
    </row>
    <row r="10" spans="1:6" ht="39.950000000000003" customHeight="1" x14ac:dyDescent="0.25">
      <c r="A10" s="16">
        <f>+BASE_INFORMATION!E14</f>
        <v>2030</v>
      </c>
      <c r="B10" s="17">
        <f>+'TABL-AMORT-EMPR_-5ans'!C57</f>
        <v>-10000000.000000002</v>
      </c>
      <c r="C10" s="17">
        <f>+'TABL-AMORT-EMPR_-5ans'!D69</f>
        <v>5000000</v>
      </c>
      <c r="D10" s="17">
        <f>+'TABL-AMORT-EMPR_-5ans'!E69</f>
        <v>-983333.33333333326</v>
      </c>
      <c r="E10" s="15">
        <f>+C10+D10</f>
        <v>4016666.666666667</v>
      </c>
    </row>
    <row r="11" spans="1:6" ht="42.95" customHeight="1" x14ac:dyDescent="0.25">
      <c r="A11" s="344" t="s">
        <v>24</v>
      </c>
      <c r="B11" s="344"/>
      <c r="C11" s="18">
        <f>SUM(C6:C10)</f>
        <v>25000000</v>
      </c>
      <c r="D11" s="18">
        <f>SUM(D6:D10)</f>
        <v>-916666.66666666674</v>
      </c>
      <c r="E11" s="18">
        <f>SUM(E6:E10)</f>
        <v>24083333.333333332</v>
      </c>
    </row>
    <row r="14" spans="1:6" x14ac:dyDescent="0.25">
      <c r="F14" s="19"/>
    </row>
  </sheetData>
  <mergeCells count="2">
    <mergeCell ref="A2:C2"/>
    <mergeCell ref="A11:B11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425"/>
  <sheetViews>
    <sheetView showGridLines="0" tabSelected="1" view="pageBreakPreview" topLeftCell="A207" zoomScale="96" zoomScaleNormal="100" zoomScaleSheetLayoutView="96" workbookViewId="0">
      <selection activeCell="A218" sqref="A218"/>
    </sheetView>
  </sheetViews>
  <sheetFormatPr baseColWidth="10" defaultRowHeight="15" x14ac:dyDescent="0.25"/>
  <cols>
    <col min="1" max="1" width="133.140625" customWidth="1"/>
    <col min="2" max="2" width="11.42578125" customWidth="1"/>
  </cols>
  <sheetData>
    <row r="1" spans="1:6" x14ac:dyDescent="0.25">
      <c r="A1" s="41"/>
    </row>
    <row r="2" spans="1:6" ht="66" customHeight="1" x14ac:dyDescent="0.35">
      <c r="A2" s="207"/>
      <c r="B2" s="207"/>
      <c r="C2" s="207"/>
      <c r="D2" s="207"/>
      <c r="E2" s="207"/>
      <c r="F2" s="207"/>
    </row>
    <row r="3" spans="1:6" ht="57" customHeight="1" x14ac:dyDescent="0.35">
      <c r="A3" s="207"/>
      <c r="B3" s="207"/>
      <c r="C3" s="207"/>
      <c r="D3" s="207"/>
      <c r="E3" s="207"/>
      <c r="F3" s="207"/>
    </row>
    <row r="4" spans="1:6" ht="23.25" x14ac:dyDescent="0.35">
      <c r="A4" s="207"/>
      <c r="B4" s="207"/>
      <c r="C4" s="207"/>
      <c r="D4" s="207"/>
      <c r="E4" s="207"/>
      <c r="F4" s="207"/>
    </row>
    <row r="5" spans="1:6" ht="23.25" x14ac:dyDescent="0.35">
      <c r="A5" s="45"/>
      <c r="B5" s="207"/>
      <c r="C5" s="207"/>
      <c r="D5" s="207"/>
      <c r="E5" s="207"/>
      <c r="F5" s="207"/>
    </row>
    <row r="6" spans="1:6" ht="23.25" x14ac:dyDescent="0.35">
      <c r="A6" s="45"/>
      <c r="B6" s="207"/>
      <c r="C6" s="207"/>
      <c r="D6" s="207"/>
      <c r="E6" s="207"/>
      <c r="F6" s="207"/>
    </row>
    <row r="7" spans="1:6" ht="23.25" x14ac:dyDescent="0.35">
      <c r="A7" s="45"/>
      <c r="B7" s="207"/>
      <c r="C7" s="207"/>
      <c r="D7" s="207"/>
      <c r="E7" s="207"/>
      <c r="F7" s="207"/>
    </row>
    <row r="8" spans="1:6" ht="61.5" x14ac:dyDescent="0.35">
      <c r="A8" s="42" t="str">
        <f>BASE_INFORMATION!C3</f>
        <v>MBC</v>
      </c>
      <c r="B8" s="207"/>
      <c r="C8" s="207"/>
      <c r="D8" s="207"/>
      <c r="E8" s="207"/>
      <c r="F8" s="207"/>
    </row>
    <row r="9" spans="1:6" ht="23.25" x14ac:dyDescent="0.35">
      <c r="A9" s="211"/>
      <c r="B9" s="207"/>
      <c r="C9" s="207"/>
      <c r="D9" s="207"/>
      <c r="E9" s="207"/>
      <c r="F9" s="207"/>
    </row>
    <row r="10" spans="1:6" ht="31.5" x14ac:dyDescent="0.35">
      <c r="A10" s="222" t="s">
        <v>46</v>
      </c>
      <c r="B10" s="207"/>
      <c r="C10" s="207"/>
      <c r="D10" s="207"/>
      <c r="E10" s="207"/>
      <c r="F10" s="207"/>
    </row>
    <row r="11" spans="1:6" ht="23.25" x14ac:dyDescent="0.35">
      <c r="A11" s="45"/>
      <c r="B11" s="207"/>
      <c r="C11" s="207"/>
      <c r="D11" s="207"/>
      <c r="E11" s="207"/>
      <c r="F11" s="207"/>
    </row>
    <row r="12" spans="1:6" ht="23.25" x14ac:dyDescent="0.35">
      <c r="A12" s="45"/>
      <c r="B12" s="207"/>
      <c r="C12" s="207"/>
      <c r="D12" s="207"/>
      <c r="E12" s="207"/>
      <c r="F12" s="207"/>
    </row>
    <row r="13" spans="1:6" ht="23.25" x14ac:dyDescent="0.35">
      <c r="A13" s="45"/>
      <c r="B13" s="207"/>
      <c r="C13" s="207"/>
      <c r="D13" s="207"/>
      <c r="E13" s="207"/>
      <c r="F13" s="207"/>
    </row>
    <row r="14" spans="1:6" ht="23.25" x14ac:dyDescent="0.35">
      <c r="A14" s="45"/>
      <c r="B14" s="207"/>
      <c r="C14" s="207"/>
      <c r="D14" s="207"/>
      <c r="E14" s="207"/>
      <c r="F14" s="207"/>
    </row>
    <row r="15" spans="1:6" ht="23.25" x14ac:dyDescent="0.35">
      <c r="A15" s="207"/>
      <c r="B15" s="207"/>
      <c r="C15" s="207"/>
      <c r="D15" s="207"/>
      <c r="E15" s="207"/>
      <c r="F15" s="207"/>
    </row>
    <row r="16" spans="1:6" ht="23.25" x14ac:dyDescent="0.35">
      <c r="A16" s="207"/>
      <c r="B16" s="207"/>
      <c r="C16" s="207"/>
      <c r="D16" s="207"/>
      <c r="E16" s="207"/>
      <c r="F16" s="207"/>
    </row>
    <row r="17" spans="1:6" ht="23.25" x14ac:dyDescent="0.35">
      <c r="A17" s="45"/>
      <c r="B17" s="207"/>
      <c r="C17" s="207"/>
      <c r="D17" s="207"/>
      <c r="E17" s="207"/>
      <c r="F17" s="207"/>
    </row>
    <row r="18" spans="1:6" ht="23.25" x14ac:dyDescent="0.35">
      <c r="A18" s="45" t="s">
        <v>47</v>
      </c>
      <c r="B18" s="207"/>
      <c r="C18" s="207"/>
      <c r="D18" s="207"/>
      <c r="E18" s="207"/>
      <c r="F18" s="207"/>
    </row>
    <row r="19" spans="1:6" ht="23.25" x14ac:dyDescent="0.35">
      <c r="A19" s="45"/>
      <c r="B19" s="207"/>
      <c r="C19" s="207"/>
      <c r="D19" s="207"/>
      <c r="E19" s="207"/>
      <c r="F19" s="207"/>
    </row>
    <row r="20" spans="1:6" ht="23.25" x14ac:dyDescent="0.35">
      <c r="A20" s="207"/>
      <c r="B20" s="207"/>
      <c r="C20" s="207"/>
      <c r="D20" s="207"/>
      <c r="E20" s="207"/>
      <c r="F20" s="207"/>
    </row>
    <row r="21" spans="1:6" ht="23.25" x14ac:dyDescent="0.35">
      <c r="A21" s="207"/>
      <c r="B21" s="207"/>
      <c r="C21" s="207"/>
      <c r="D21" s="207"/>
      <c r="E21" s="207"/>
      <c r="F21" s="207"/>
    </row>
    <row r="22" spans="1:6" ht="23.25" x14ac:dyDescent="0.35">
      <c r="A22" s="207"/>
      <c r="B22" s="207"/>
      <c r="C22" s="207"/>
      <c r="D22" s="207"/>
      <c r="E22" s="207"/>
      <c r="F22" s="207"/>
    </row>
    <row r="23" spans="1:6" ht="23.25" x14ac:dyDescent="0.35">
      <c r="A23" s="207"/>
      <c r="B23" s="207"/>
      <c r="C23" s="207"/>
      <c r="D23" s="207"/>
      <c r="E23" s="207"/>
      <c r="F23" s="207"/>
    </row>
    <row r="24" spans="1:6" ht="23.25" x14ac:dyDescent="0.35">
      <c r="A24" s="207"/>
      <c r="B24" s="207"/>
      <c r="C24" s="207"/>
      <c r="D24" s="207"/>
      <c r="E24" s="207"/>
      <c r="F24" s="207"/>
    </row>
    <row r="25" spans="1:6" ht="23.25" x14ac:dyDescent="0.35">
      <c r="A25" s="207"/>
      <c r="B25" s="207"/>
      <c r="C25" s="207"/>
      <c r="D25" s="207"/>
      <c r="E25" s="207"/>
      <c r="F25" s="207"/>
    </row>
    <row r="26" spans="1:6" ht="23.25" x14ac:dyDescent="0.35">
      <c r="A26" s="45" t="s">
        <v>423</v>
      </c>
      <c r="B26" s="207"/>
      <c r="C26" s="207"/>
      <c r="D26" s="207"/>
      <c r="E26" s="207"/>
      <c r="F26" s="207"/>
    </row>
    <row r="27" spans="1:6" ht="23.25" x14ac:dyDescent="0.35">
      <c r="A27" s="45" t="s">
        <v>424</v>
      </c>
      <c r="B27" s="207"/>
      <c r="C27" s="207"/>
      <c r="D27" s="207"/>
      <c r="E27" s="207"/>
      <c r="F27" s="207"/>
    </row>
    <row r="28" spans="1:6" ht="23.25" x14ac:dyDescent="0.35">
      <c r="A28" s="207"/>
      <c r="B28" s="207"/>
      <c r="C28" s="207"/>
      <c r="D28" s="207"/>
      <c r="E28" s="207"/>
      <c r="F28" s="207"/>
    </row>
    <row r="29" spans="1:6" ht="11.1" customHeight="1" x14ac:dyDescent="0.35">
      <c r="A29" s="207"/>
      <c r="B29" s="207"/>
      <c r="C29" s="207"/>
      <c r="D29" s="207"/>
      <c r="E29" s="207"/>
      <c r="F29" s="207"/>
    </row>
    <row r="30" spans="1:6" ht="15" hidden="1" customHeight="1" x14ac:dyDescent="0.35">
      <c r="A30" s="207"/>
      <c r="B30" s="207"/>
      <c r="C30" s="207"/>
      <c r="D30" s="207"/>
      <c r="E30" s="207"/>
      <c r="F30" s="207"/>
    </row>
    <row r="31" spans="1:6" ht="23.25" hidden="1" x14ac:dyDescent="0.35">
      <c r="A31" s="207"/>
      <c r="B31" s="207"/>
      <c r="C31" s="207"/>
      <c r="D31" s="207"/>
      <c r="E31" s="207"/>
      <c r="F31" s="207"/>
    </row>
    <row r="32" spans="1:6" ht="23.25" hidden="1" x14ac:dyDescent="0.35">
      <c r="A32" s="207"/>
      <c r="B32" s="207"/>
      <c r="C32" s="207"/>
      <c r="D32" s="207"/>
      <c r="E32" s="207"/>
      <c r="F32" s="207"/>
    </row>
    <row r="33" spans="1:6" ht="23.25" hidden="1" x14ac:dyDescent="0.35">
      <c r="A33" s="207"/>
      <c r="B33" s="207"/>
      <c r="C33" s="207"/>
      <c r="D33" s="207"/>
      <c r="E33" s="207"/>
      <c r="F33" s="207"/>
    </row>
    <row r="34" spans="1:6" ht="23.25" x14ac:dyDescent="0.35">
      <c r="A34" s="207"/>
      <c r="B34" s="207"/>
      <c r="C34" s="207"/>
      <c r="D34" s="207"/>
      <c r="E34" s="207"/>
      <c r="F34" s="207"/>
    </row>
    <row r="35" spans="1:6" ht="46.5" x14ac:dyDescent="0.35">
      <c r="A35" s="228" t="s">
        <v>48</v>
      </c>
      <c r="B35" s="207"/>
      <c r="C35" s="207"/>
      <c r="D35" s="207"/>
      <c r="E35" s="207"/>
      <c r="F35" s="207"/>
    </row>
    <row r="36" spans="1:6" ht="23.25" x14ac:dyDescent="0.35">
      <c r="A36" s="45"/>
      <c r="B36" s="207"/>
      <c r="C36" s="207"/>
      <c r="D36" s="207"/>
      <c r="E36" s="207"/>
      <c r="F36" s="207"/>
    </row>
    <row r="37" spans="1:6" ht="23.25" x14ac:dyDescent="0.35">
      <c r="A37" s="45" t="s">
        <v>49</v>
      </c>
      <c r="B37" s="207"/>
      <c r="C37" s="207"/>
      <c r="D37" s="207"/>
      <c r="E37" s="207"/>
      <c r="F37" s="207"/>
    </row>
    <row r="38" spans="1:6" ht="23.25" x14ac:dyDescent="0.35">
      <c r="A38" s="44" t="s">
        <v>50</v>
      </c>
      <c r="B38" s="207"/>
      <c r="C38" s="207"/>
      <c r="D38" s="207"/>
      <c r="E38" s="207"/>
      <c r="F38" s="207"/>
    </row>
    <row r="39" spans="1:6" ht="23.25" x14ac:dyDescent="0.35">
      <c r="A39" s="45" t="s">
        <v>51</v>
      </c>
      <c r="B39" s="207"/>
      <c r="C39" s="207"/>
      <c r="D39" s="207"/>
      <c r="E39" s="207"/>
      <c r="F39" s="207"/>
    </row>
    <row r="40" spans="1:6" ht="23.25" x14ac:dyDescent="0.35">
      <c r="A40" s="45" t="s">
        <v>52</v>
      </c>
      <c r="B40" s="207"/>
      <c r="C40" s="207"/>
      <c r="D40" s="207"/>
      <c r="E40" s="207"/>
      <c r="F40" s="207"/>
    </row>
    <row r="41" spans="1:6" ht="23.25" x14ac:dyDescent="0.35">
      <c r="A41" s="44" t="s">
        <v>302</v>
      </c>
      <c r="B41" s="207"/>
      <c r="C41" s="207"/>
      <c r="D41" s="207"/>
      <c r="E41" s="207"/>
      <c r="F41" s="207"/>
    </row>
    <row r="42" spans="1:6" ht="23.25" x14ac:dyDescent="0.35">
      <c r="A42" s="45" t="s">
        <v>53</v>
      </c>
      <c r="B42" s="207"/>
      <c r="C42" s="207"/>
      <c r="D42" s="207"/>
      <c r="E42" s="207"/>
      <c r="F42" s="207"/>
    </row>
    <row r="43" spans="1:6" ht="23.25" x14ac:dyDescent="0.35">
      <c r="A43" s="45" t="s">
        <v>54</v>
      </c>
      <c r="B43" s="207"/>
      <c r="C43" s="207"/>
      <c r="D43" s="207"/>
      <c r="E43" s="207"/>
      <c r="F43" s="207"/>
    </row>
    <row r="44" spans="1:6" ht="23.25" x14ac:dyDescent="0.35">
      <c r="A44" s="45" t="s">
        <v>55</v>
      </c>
      <c r="B44" s="207"/>
      <c r="C44" s="207"/>
      <c r="D44" s="207"/>
      <c r="E44" s="207"/>
      <c r="F44" s="207"/>
    </row>
    <row r="45" spans="1:6" ht="23.25" x14ac:dyDescent="0.35">
      <c r="A45" s="44" t="s">
        <v>303</v>
      </c>
      <c r="B45" s="207"/>
      <c r="C45" s="207"/>
      <c r="D45" s="207"/>
      <c r="E45" s="207"/>
      <c r="F45" s="207"/>
    </row>
    <row r="46" spans="1:6" ht="23.25" x14ac:dyDescent="0.35">
      <c r="A46" s="45" t="s">
        <v>56</v>
      </c>
      <c r="B46" s="212" t="s">
        <v>47</v>
      </c>
      <c r="C46" s="207"/>
      <c r="D46" s="207"/>
      <c r="E46" s="207"/>
      <c r="F46" s="207"/>
    </row>
    <row r="47" spans="1:6" ht="23.25" x14ac:dyDescent="0.35">
      <c r="A47" s="45" t="s">
        <v>54</v>
      </c>
      <c r="B47" s="207"/>
      <c r="C47" s="207"/>
      <c r="D47" s="207"/>
      <c r="E47" s="207"/>
      <c r="F47" s="207"/>
    </row>
    <row r="48" spans="1:6" ht="23.25" x14ac:dyDescent="0.35">
      <c r="A48" s="45" t="s">
        <v>55</v>
      </c>
      <c r="B48" s="207"/>
      <c r="C48" s="207"/>
      <c r="D48" s="207"/>
      <c r="E48" s="207"/>
      <c r="F48" s="207"/>
    </row>
    <row r="49" spans="1:6" ht="23.25" x14ac:dyDescent="0.35">
      <c r="A49" s="44" t="s">
        <v>304</v>
      </c>
      <c r="B49" s="207"/>
      <c r="C49" s="207"/>
      <c r="D49" s="207"/>
      <c r="E49" s="207"/>
      <c r="F49" s="207"/>
    </row>
    <row r="50" spans="1:6" ht="23.25" x14ac:dyDescent="0.35">
      <c r="A50" s="45" t="s">
        <v>57</v>
      </c>
      <c r="B50" s="207"/>
      <c r="C50" s="207"/>
      <c r="D50" s="207"/>
      <c r="E50" s="207"/>
      <c r="F50" s="207"/>
    </row>
    <row r="51" spans="1:6" ht="23.25" x14ac:dyDescent="0.35">
      <c r="A51" s="45" t="s">
        <v>58</v>
      </c>
      <c r="B51" s="207"/>
      <c r="C51" s="207"/>
      <c r="D51" s="207"/>
      <c r="E51" s="207"/>
      <c r="F51" s="207"/>
    </row>
    <row r="52" spans="1:6" ht="23.25" x14ac:dyDescent="0.35">
      <c r="A52" s="45" t="s">
        <v>419</v>
      </c>
      <c r="B52" s="207"/>
      <c r="C52" s="207"/>
      <c r="D52" s="207"/>
      <c r="E52" s="207"/>
      <c r="F52" s="207"/>
    </row>
    <row r="53" spans="1:6" ht="23.25" x14ac:dyDescent="0.35">
      <c r="A53" s="44" t="s">
        <v>59</v>
      </c>
      <c r="B53" s="207"/>
      <c r="C53" s="207"/>
      <c r="D53" s="207"/>
      <c r="E53" s="207"/>
      <c r="F53" s="207"/>
    </row>
    <row r="54" spans="1:6" ht="23.25" x14ac:dyDescent="0.35">
      <c r="A54" s="45" t="s">
        <v>60</v>
      </c>
      <c r="B54" s="207"/>
      <c r="C54" s="207"/>
      <c r="D54" s="207"/>
      <c r="E54" s="207"/>
      <c r="F54" s="207"/>
    </row>
    <row r="55" spans="1:6" ht="23.25" x14ac:dyDescent="0.35">
      <c r="A55" s="45" t="s">
        <v>61</v>
      </c>
      <c r="B55" s="207"/>
      <c r="C55" s="207"/>
      <c r="D55" s="207"/>
      <c r="E55" s="207"/>
      <c r="F55" s="207"/>
    </row>
    <row r="56" spans="1:6" ht="23.25" x14ac:dyDescent="0.35">
      <c r="A56" s="44" t="s">
        <v>62</v>
      </c>
      <c r="B56" s="207"/>
      <c r="C56" s="207"/>
      <c r="D56" s="207"/>
      <c r="E56" s="207"/>
      <c r="F56" s="207"/>
    </row>
    <row r="57" spans="1:6" ht="23.25" x14ac:dyDescent="0.35">
      <c r="A57" s="45" t="s">
        <v>63</v>
      </c>
      <c r="B57" s="207"/>
      <c r="C57" s="207"/>
      <c r="D57" s="207"/>
      <c r="E57" s="207"/>
      <c r="F57" s="207"/>
    </row>
    <row r="58" spans="1:6" ht="23.25" x14ac:dyDescent="0.35">
      <c r="A58" s="45" t="s">
        <v>64</v>
      </c>
      <c r="B58" s="207"/>
      <c r="C58" s="207"/>
      <c r="D58" s="207"/>
      <c r="E58" s="207"/>
      <c r="F58" s="207"/>
    </row>
    <row r="59" spans="1:6" ht="23.25" x14ac:dyDescent="0.35">
      <c r="A59" s="45" t="s">
        <v>300</v>
      </c>
      <c r="B59" s="207"/>
      <c r="C59" s="207"/>
      <c r="D59" s="207"/>
      <c r="E59" s="207"/>
      <c r="F59" s="207"/>
    </row>
    <row r="60" spans="1:6" ht="23.25" x14ac:dyDescent="0.35">
      <c r="A60" s="45" t="s">
        <v>301</v>
      </c>
      <c r="B60" s="207"/>
      <c r="C60" s="207"/>
      <c r="D60" s="207"/>
      <c r="E60" s="207"/>
      <c r="F60" s="207"/>
    </row>
    <row r="61" spans="1:6" ht="23.25" x14ac:dyDescent="0.35">
      <c r="A61" s="45" t="s">
        <v>65</v>
      </c>
      <c r="B61" s="207"/>
      <c r="C61" s="207"/>
      <c r="D61" s="207"/>
      <c r="E61" s="207"/>
      <c r="F61" s="207"/>
    </row>
    <row r="62" spans="1:6" ht="23.25" x14ac:dyDescent="0.35">
      <c r="A62" s="207"/>
      <c r="B62" s="207"/>
      <c r="C62" s="207"/>
      <c r="D62" s="207"/>
      <c r="E62" s="207"/>
      <c r="F62" s="207"/>
    </row>
    <row r="63" spans="1:6" ht="23.25" x14ac:dyDescent="0.35">
      <c r="A63" s="207"/>
      <c r="B63" s="207"/>
      <c r="C63" s="207"/>
      <c r="D63" s="207"/>
      <c r="E63" s="207"/>
      <c r="F63" s="207"/>
    </row>
    <row r="64" spans="1:6" ht="6" customHeight="1" x14ac:dyDescent="0.35">
      <c r="A64" s="207"/>
      <c r="B64" s="207"/>
      <c r="C64" s="207"/>
      <c r="D64" s="207"/>
      <c r="E64" s="207"/>
      <c r="F64" s="207"/>
    </row>
    <row r="65" spans="1:6" ht="23.25" hidden="1" x14ac:dyDescent="0.35">
      <c r="A65" s="207"/>
      <c r="B65" s="207"/>
      <c r="C65" s="207"/>
      <c r="D65" s="207"/>
      <c r="E65" s="207"/>
      <c r="F65" s="207"/>
    </row>
    <row r="66" spans="1:6" ht="23.25" hidden="1" x14ac:dyDescent="0.35">
      <c r="A66" s="207"/>
      <c r="B66" s="207"/>
      <c r="C66" s="207"/>
      <c r="D66" s="207"/>
      <c r="E66" s="207"/>
      <c r="F66" s="207"/>
    </row>
    <row r="67" spans="1:6" ht="23.25" hidden="1" x14ac:dyDescent="0.35">
      <c r="A67" s="207"/>
      <c r="B67" s="207"/>
      <c r="C67" s="207"/>
      <c r="D67" s="207"/>
      <c r="E67" s="207"/>
      <c r="F67" s="207"/>
    </row>
    <row r="68" spans="1:6" ht="21" customHeight="1" x14ac:dyDescent="0.35">
      <c r="B68" s="207"/>
      <c r="C68" s="207"/>
      <c r="D68" s="207"/>
      <c r="E68" s="207"/>
      <c r="F68" s="207"/>
    </row>
    <row r="69" spans="1:6" ht="33" hidden="1" customHeight="1" x14ac:dyDescent="0.35">
      <c r="A69" s="207"/>
      <c r="B69" s="207"/>
      <c r="C69" s="207"/>
      <c r="D69" s="207"/>
      <c r="E69" s="207"/>
      <c r="F69" s="207"/>
    </row>
    <row r="70" spans="1:6" ht="23.25" x14ac:dyDescent="0.35">
      <c r="A70" s="207" t="s">
        <v>425</v>
      </c>
      <c r="B70" s="207"/>
      <c r="C70" s="207"/>
      <c r="D70" s="207"/>
      <c r="E70" s="207"/>
      <c r="F70" s="207"/>
    </row>
    <row r="71" spans="1:6" ht="23.25" x14ac:dyDescent="0.35">
      <c r="A71" s="207" t="s">
        <v>422</v>
      </c>
      <c r="B71" s="207"/>
      <c r="C71" s="207"/>
      <c r="D71" s="207"/>
      <c r="E71" s="207"/>
      <c r="F71" s="207"/>
    </row>
    <row r="72" spans="1:6" ht="23.25" x14ac:dyDescent="0.35">
      <c r="A72" s="45" t="s">
        <v>66</v>
      </c>
      <c r="B72" s="207"/>
      <c r="C72" s="207"/>
      <c r="D72" s="207"/>
      <c r="E72" s="207"/>
      <c r="F72" s="207"/>
    </row>
    <row r="73" spans="1:6" ht="23.25" x14ac:dyDescent="0.35">
      <c r="A73" s="45" t="s">
        <v>426</v>
      </c>
      <c r="B73" s="207"/>
      <c r="C73" s="207"/>
      <c r="D73" s="207"/>
      <c r="E73" s="207"/>
      <c r="F73" s="207"/>
    </row>
    <row r="74" spans="1:6" ht="23.25" x14ac:dyDescent="0.35">
      <c r="A74" s="45" t="s">
        <v>427</v>
      </c>
      <c r="B74" s="207"/>
      <c r="C74" s="207"/>
      <c r="D74" s="207"/>
      <c r="E74" s="207"/>
      <c r="F74" s="207"/>
    </row>
    <row r="75" spans="1:6" ht="23.25" x14ac:dyDescent="0.35">
      <c r="A75" s="45" t="s">
        <v>428</v>
      </c>
      <c r="B75" s="207"/>
      <c r="C75" s="207"/>
      <c r="D75" s="207"/>
      <c r="E75" s="207"/>
      <c r="F75" s="207"/>
    </row>
    <row r="76" spans="1:6" ht="23.25" x14ac:dyDescent="0.35">
      <c r="A76" s="51" t="s">
        <v>429</v>
      </c>
      <c r="B76" s="207"/>
      <c r="C76" s="207"/>
      <c r="D76" s="207"/>
      <c r="E76" s="207"/>
      <c r="F76" s="207"/>
    </row>
    <row r="77" spans="1:6" ht="23.25" x14ac:dyDescent="0.35">
      <c r="A77" s="45"/>
      <c r="B77" s="207"/>
      <c r="C77" s="207"/>
      <c r="D77" s="207"/>
      <c r="E77" s="207"/>
      <c r="F77" s="207"/>
    </row>
    <row r="78" spans="1:6" ht="23.25" x14ac:dyDescent="0.35">
      <c r="A78" s="46" t="s">
        <v>353</v>
      </c>
      <c r="B78" s="207"/>
      <c r="C78" s="207"/>
      <c r="D78" s="207"/>
      <c r="E78" s="207"/>
      <c r="F78" s="207"/>
    </row>
    <row r="79" spans="1:6" ht="23.25" x14ac:dyDescent="0.35">
      <c r="A79" s="45"/>
      <c r="B79" s="207"/>
      <c r="C79" s="207"/>
      <c r="D79" s="207"/>
      <c r="E79" s="207"/>
      <c r="F79" s="207"/>
    </row>
    <row r="80" spans="1:6" ht="23.25" x14ac:dyDescent="0.35">
      <c r="A80" s="45" t="s">
        <v>430</v>
      </c>
      <c r="B80" s="207"/>
      <c r="C80" s="207"/>
      <c r="D80" s="207"/>
      <c r="E80" s="207"/>
      <c r="F80" s="207"/>
    </row>
    <row r="81" spans="1:6" ht="23.25" x14ac:dyDescent="0.35">
      <c r="A81" s="45" t="s">
        <v>67</v>
      </c>
      <c r="B81" s="207"/>
      <c r="C81" s="207"/>
      <c r="D81" s="207"/>
      <c r="E81" s="207"/>
      <c r="F81" s="207"/>
    </row>
    <row r="82" spans="1:6" ht="23.25" x14ac:dyDescent="0.35">
      <c r="A82" s="45" t="s">
        <v>431</v>
      </c>
      <c r="B82" s="207"/>
      <c r="C82" s="207"/>
      <c r="D82" s="207"/>
      <c r="E82" s="207"/>
      <c r="F82" s="207"/>
    </row>
    <row r="83" spans="1:6" ht="23.25" x14ac:dyDescent="0.35">
      <c r="A83" s="45" t="s">
        <v>432</v>
      </c>
      <c r="B83" s="207"/>
      <c r="C83" s="207"/>
      <c r="D83" s="207"/>
      <c r="E83" s="207"/>
      <c r="F83" s="207"/>
    </row>
    <row r="84" spans="1:6" ht="23.25" x14ac:dyDescent="0.35">
      <c r="A84" s="45" t="s">
        <v>433</v>
      </c>
      <c r="B84" s="207"/>
      <c r="C84" s="207"/>
      <c r="D84" s="207"/>
      <c r="E84" s="207"/>
      <c r="F84" s="207"/>
    </row>
    <row r="85" spans="1:6" ht="23.25" x14ac:dyDescent="0.35">
      <c r="A85" s="45" t="s">
        <v>434</v>
      </c>
      <c r="B85" s="207"/>
      <c r="C85" s="207"/>
      <c r="D85" s="207"/>
      <c r="E85" s="207"/>
      <c r="F85" s="207"/>
    </row>
    <row r="86" spans="1:6" ht="23.25" x14ac:dyDescent="0.35">
      <c r="A86" s="45" t="s">
        <v>435</v>
      </c>
      <c r="B86" s="207"/>
      <c r="C86" s="207"/>
      <c r="D86" s="207"/>
      <c r="E86" s="207"/>
      <c r="F86" s="207"/>
    </row>
    <row r="87" spans="1:6" ht="23.25" x14ac:dyDescent="0.35">
      <c r="A87" s="45" t="s">
        <v>68</v>
      </c>
      <c r="B87" s="207"/>
      <c r="C87" s="207"/>
      <c r="D87" s="207"/>
      <c r="E87" s="207"/>
      <c r="F87" s="207"/>
    </row>
    <row r="88" spans="1:6" ht="23.25" x14ac:dyDescent="0.35">
      <c r="A88" s="45" t="s">
        <v>69</v>
      </c>
      <c r="B88" s="207"/>
      <c r="C88" s="207"/>
      <c r="D88" s="207"/>
      <c r="E88" s="207"/>
      <c r="F88" s="207"/>
    </row>
    <row r="89" spans="1:6" ht="23.25" x14ac:dyDescent="0.35">
      <c r="A89" s="45" t="s">
        <v>70</v>
      </c>
      <c r="B89" s="207"/>
      <c r="C89" s="207"/>
      <c r="D89" s="207"/>
      <c r="E89" s="207"/>
      <c r="F89" s="207"/>
    </row>
    <row r="90" spans="1:6" ht="23.25" x14ac:dyDescent="0.35">
      <c r="A90" s="45" t="s">
        <v>71</v>
      </c>
      <c r="B90" s="207"/>
      <c r="C90" s="207"/>
      <c r="D90" s="207"/>
      <c r="E90" s="207"/>
      <c r="F90" s="207"/>
    </row>
    <row r="91" spans="1:6" ht="23.25" x14ac:dyDescent="0.35">
      <c r="A91" s="207"/>
      <c r="B91" s="207"/>
      <c r="C91" s="207"/>
      <c r="D91" s="207"/>
      <c r="E91" s="207"/>
      <c r="F91" s="207"/>
    </row>
    <row r="92" spans="1:6" ht="23.25" x14ac:dyDescent="0.35">
      <c r="A92" s="45" t="s">
        <v>47</v>
      </c>
      <c r="B92" s="207"/>
      <c r="C92" s="207"/>
      <c r="D92" s="207"/>
      <c r="E92" s="207"/>
      <c r="F92" s="207"/>
    </row>
    <row r="93" spans="1:6" ht="23.25" x14ac:dyDescent="0.35">
      <c r="A93" s="45"/>
      <c r="B93" s="207"/>
      <c r="C93" s="207"/>
      <c r="D93" s="207"/>
      <c r="E93" s="207"/>
      <c r="F93" s="207"/>
    </row>
    <row r="94" spans="1:6" ht="23.25" x14ac:dyDescent="0.35">
      <c r="A94" s="45" t="s">
        <v>354</v>
      </c>
      <c r="B94" s="207"/>
      <c r="C94" s="207"/>
      <c r="D94" s="207"/>
      <c r="E94" s="207"/>
      <c r="F94" s="207"/>
    </row>
    <row r="95" spans="1:6" ht="23.25" x14ac:dyDescent="0.35">
      <c r="A95" s="45"/>
      <c r="B95" s="207"/>
      <c r="C95" s="207"/>
      <c r="D95" s="207"/>
      <c r="E95" s="207"/>
      <c r="F95" s="207"/>
    </row>
    <row r="96" spans="1:6" ht="23.25" x14ac:dyDescent="0.35">
      <c r="A96" s="51"/>
      <c r="B96" s="207"/>
      <c r="C96" s="207"/>
      <c r="D96" s="207"/>
      <c r="E96" s="207"/>
      <c r="F96" s="207"/>
    </row>
    <row r="97" spans="1:6" ht="23.25" x14ac:dyDescent="0.35">
      <c r="A97" s="45"/>
      <c r="B97" s="207"/>
      <c r="C97" s="207"/>
      <c r="D97" s="207"/>
      <c r="E97" s="207"/>
      <c r="F97" s="207"/>
    </row>
    <row r="98" spans="1:6" ht="23.25" x14ac:dyDescent="0.35">
      <c r="A98" s="45"/>
      <c r="B98" s="207"/>
      <c r="C98" s="207"/>
      <c r="D98" s="207"/>
      <c r="E98" s="207"/>
      <c r="F98" s="207"/>
    </row>
    <row r="99" spans="1:6" ht="23.25" x14ac:dyDescent="0.35">
      <c r="A99" s="51"/>
      <c r="B99" s="207"/>
      <c r="C99" s="207"/>
      <c r="D99" s="207"/>
      <c r="E99" s="207"/>
      <c r="F99" s="207"/>
    </row>
    <row r="100" spans="1:6" ht="23.25" x14ac:dyDescent="0.35">
      <c r="A100" s="51"/>
      <c r="B100" s="207"/>
      <c r="C100" s="207"/>
      <c r="D100" s="207"/>
      <c r="E100" s="207"/>
      <c r="F100" s="207"/>
    </row>
    <row r="101" spans="1:6" ht="23.25" x14ac:dyDescent="0.35">
      <c r="A101" s="51"/>
      <c r="B101" s="207"/>
      <c r="C101" s="207"/>
      <c r="D101" s="207"/>
      <c r="E101" s="207"/>
      <c r="F101" s="207"/>
    </row>
    <row r="102" spans="1:6" ht="23.25" x14ac:dyDescent="0.35">
      <c r="A102" s="51"/>
      <c r="B102" s="207"/>
      <c r="C102" s="207"/>
      <c r="D102" s="207"/>
      <c r="E102" s="207"/>
      <c r="F102" s="207"/>
    </row>
    <row r="103" spans="1:6" ht="23.25" x14ac:dyDescent="0.35">
      <c r="A103" s="51"/>
      <c r="B103" s="207"/>
      <c r="C103" s="207"/>
      <c r="D103" s="207"/>
      <c r="E103" s="207"/>
      <c r="F103" s="207"/>
    </row>
    <row r="104" spans="1:6" ht="23.25" x14ac:dyDescent="0.35">
      <c r="A104" s="51"/>
      <c r="B104" s="207"/>
      <c r="C104" s="207"/>
      <c r="D104" s="207"/>
      <c r="E104" s="207"/>
      <c r="F104" s="207"/>
    </row>
    <row r="105" spans="1:6" ht="23.25" x14ac:dyDescent="0.35">
      <c r="A105" s="51"/>
      <c r="B105" s="207"/>
      <c r="C105" s="207"/>
      <c r="D105" s="207"/>
      <c r="E105" s="207"/>
      <c r="F105" s="207"/>
    </row>
    <row r="106" spans="1:6" ht="23.25" x14ac:dyDescent="0.35">
      <c r="A106" s="51"/>
      <c r="B106" s="207"/>
      <c r="C106" s="207"/>
      <c r="D106" s="207"/>
      <c r="E106" s="207"/>
      <c r="F106" s="207"/>
    </row>
    <row r="107" spans="1:6" ht="23.25" x14ac:dyDescent="0.35">
      <c r="A107" s="51"/>
      <c r="B107" s="207"/>
      <c r="C107" s="207"/>
      <c r="D107" s="207"/>
      <c r="E107" s="207"/>
      <c r="F107" s="207"/>
    </row>
    <row r="108" spans="1:6" ht="23.25" x14ac:dyDescent="0.35">
      <c r="A108" s="51"/>
      <c r="B108" s="207"/>
      <c r="C108" s="207"/>
      <c r="D108" s="207"/>
      <c r="E108" s="207"/>
      <c r="F108" s="207"/>
    </row>
    <row r="109" spans="1:6" ht="23.25" x14ac:dyDescent="0.35">
      <c r="A109" s="51"/>
      <c r="B109" s="207"/>
      <c r="C109" s="207"/>
      <c r="D109" s="207"/>
      <c r="E109" s="207"/>
      <c r="F109" s="207"/>
    </row>
    <row r="110" spans="1:6" ht="23.25" x14ac:dyDescent="0.35">
      <c r="A110" s="213"/>
      <c r="B110" s="207"/>
      <c r="C110" s="207"/>
      <c r="D110" s="207"/>
      <c r="E110" s="207"/>
      <c r="F110" s="207"/>
    </row>
    <row r="111" spans="1:6" ht="36" x14ac:dyDescent="0.35">
      <c r="A111" s="227" t="s">
        <v>72</v>
      </c>
      <c r="B111" s="207"/>
      <c r="C111" s="207"/>
      <c r="D111" s="207"/>
      <c r="E111" s="207"/>
      <c r="F111" s="207"/>
    </row>
    <row r="112" spans="1:6" ht="23.25" x14ac:dyDescent="0.35">
      <c r="A112" s="51"/>
      <c r="B112" s="207"/>
      <c r="C112" s="207"/>
      <c r="D112" s="207"/>
      <c r="E112" s="207"/>
      <c r="F112" s="207"/>
    </row>
    <row r="113" spans="1:6" ht="23.25" x14ac:dyDescent="0.35">
      <c r="A113" s="51"/>
      <c r="B113" s="207"/>
      <c r="C113" s="207"/>
      <c r="D113" s="207"/>
      <c r="E113" s="207"/>
      <c r="F113" s="207"/>
    </row>
    <row r="114" spans="1:6" ht="23.25" x14ac:dyDescent="0.35">
      <c r="A114" s="51"/>
      <c r="B114" s="207"/>
      <c r="C114" s="207"/>
      <c r="D114" s="207"/>
      <c r="E114" s="207"/>
      <c r="F114" s="207"/>
    </row>
    <row r="115" spans="1:6" ht="23.25" x14ac:dyDescent="0.35">
      <c r="A115" s="51"/>
      <c r="B115" s="207"/>
      <c r="C115" s="207"/>
      <c r="D115" s="207"/>
      <c r="E115" s="207"/>
      <c r="F115" s="207"/>
    </row>
    <row r="116" spans="1:6" ht="23.25" x14ac:dyDescent="0.35">
      <c r="A116" s="51"/>
      <c r="B116" s="207"/>
      <c r="C116" s="207"/>
      <c r="D116" s="207"/>
      <c r="E116" s="207"/>
      <c r="F116" s="207"/>
    </row>
    <row r="117" spans="1:6" ht="23.25" x14ac:dyDescent="0.35">
      <c r="A117" s="51"/>
      <c r="B117" s="207"/>
      <c r="C117" s="207"/>
      <c r="D117" s="207"/>
      <c r="E117" s="207"/>
      <c r="F117" s="207"/>
    </row>
    <row r="118" spans="1:6" ht="23.25" x14ac:dyDescent="0.35">
      <c r="A118" s="51"/>
      <c r="B118" s="207"/>
      <c r="C118" s="207"/>
      <c r="D118" s="207"/>
      <c r="E118" s="207"/>
      <c r="F118" s="207"/>
    </row>
    <row r="119" spans="1:6" ht="23.25" x14ac:dyDescent="0.35">
      <c r="A119" s="51"/>
      <c r="B119" s="207"/>
      <c r="C119" s="207"/>
      <c r="D119" s="207"/>
      <c r="E119" s="207"/>
      <c r="F119" s="207"/>
    </row>
    <row r="120" spans="1:6" ht="23.25" x14ac:dyDescent="0.35">
      <c r="A120" s="51"/>
      <c r="B120" s="207"/>
      <c r="C120" s="207"/>
      <c r="D120" s="207"/>
      <c r="E120" s="207"/>
      <c r="F120" s="207"/>
    </row>
    <row r="121" spans="1:6" ht="23.25" x14ac:dyDescent="0.35">
      <c r="A121" s="51"/>
      <c r="B121" s="207"/>
      <c r="C121" s="207"/>
      <c r="D121" s="207"/>
      <c r="E121" s="207"/>
      <c r="F121" s="207"/>
    </row>
    <row r="122" spans="1:6" ht="23.25" x14ac:dyDescent="0.35">
      <c r="A122" s="51"/>
      <c r="B122" s="207"/>
      <c r="C122" s="207"/>
      <c r="D122" s="207"/>
      <c r="E122" s="207"/>
      <c r="F122" s="207"/>
    </row>
    <row r="123" spans="1:6" ht="23.25" x14ac:dyDescent="0.35">
      <c r="A123" s="51"/>
      <c r="B123" s="207"/>
      <c r="C123" s="207"/>
      <c r="D123" s="207"/>
      <c r="E123" s="207"/>
      <c r="F123" s="207"/>
    </row>
    <row r="124" spans="1:6" ht="23.25" x14ac:dyDescent="0.35">
      <c r="A124" s="51"/>
      <c r="B124" s="207"/>
      <c r="C124" s="207"/>
      <c r="D124" s="207"/>
      <c r="E124" s="207"/>
      <c r="F124" s="207"/>
    </row>
    <row r="125" spans="1:6" ht="23.25" x14ac:dyDescent="0.35">
      <c r="A125" s="51"/>
      <c r="B125" s="207"/>
      <c r="C125" s="207"/>
      <c r="D125" s="207"/>
      <c r="E125" s="207"/>
      <c r="F125" s="207"/>
    </row>
    <row r="126" spans="1:6" ht="23.25" x14ac:dyDescent="0.35">
      <c r="A126" s="51"/>
      <c r="B126" s="207"/>
      <c r="C126" s="207"/>
      <c r="D126" s="207"/>
      <c r="E126" s="207"/>
      <c r="F126" s="207"/>
    </row>
    <row r="127" spans="1:6" ht="23.25" x14ac:dyDescent="0.35">
      <c r="A127" s="51"/>
      <c r="B127" s="207"/>
      <c r="C127" s="207"/>
      <c r="D127" s="207"/>
      <c r="E127" s="207"/>
      <c r="F127" s="207"/>
    </row>
    <row r="128" spans="1:6" ht="23.25" x14ac:dyDescent="0.35">
      <c r="A128" s="51"/>
      <c r="B128" s="207"/>
      <c r="C128" s="207"/>
      <c r="D128" s="207"/>
      <c r="E128" s="207"/>
      <c r="F128" s="207"/>
    </row>
    <row r="129" spans="1:6" ht="23.25" x14ac:dyDescent="0.35">
      <c r="A129" s="51"/>
      <c r="B129" s="207"/>
      <c r="C129" s="207"/>
      <c r="D129" s="207"/>
      <c r="E129" s="207"/>
      <c r="F129" s="207"/>
    </row>
    <row r="130" spans="1:6" ht="23.25" x14ac:dyDescent="0.35">
      <c r="A130" s="51"/>
      <c r="B130" s="207"/>
      <c r="C130" s="207"/>
      <c r="D130" s="207"/>
      <c r="E130" s="207"/>
      <c r="F130" s="207"/>
    </row>
    <row r="131" spans="1:6" ht="23.25" x14ac:dyDescent="0.35">
      <c r="A131" s="51"/>
      <c r="B131" s="207"/>
      <c r="C131" s="207"/>
      <c r="D131" s="207"/>
      <c r="E131" s="207"/>
      <c r="F131" s="207"/>
    </row>
    <row r="132" spans="1:6" ht="23.25" x14ac:dyDescent="0.35">
      <c r="A132" s="51"/>
      <c r="B132" s="207"/>
      <c r="C132" s="207"/>
      <c r="D132" s="207"/>
      <c r="E132" s="207"/>
      <c r="F132" s="207"/>
    </row>
    <row r="133" spans="1:6" ht="129" customHeight="1" x14ac:dyDescent="0.35">
      <c r="A133" s="51"/>
      <c r="B133" s="207"/>
      <c r="C133" s="207"/>
      <c r="D133" s="207"/>
      <c r="E133" s="207"/>
      <c r="F133" s="207"/>
    </row>
    <row r="134" spans="1:6" ht="117" customHeight="1" x14ac:dyDescent="0.35">
      <c r="A134" s="213"/>
      <c r="B134" s="207"/>
      <c r="C134" s="207"/>
      <c r="D134" s="207"/>
      <c r="E134" s="207"/>
      <c r="F134" s="207"/>
    </row>
    <row r="135" spans="1:6" ht="36" x14ac:dyDescent="0.35">
      <c r="A135" s="226" t="s">
        <v>73</v>
      </c>
      <c r="B135" s="207"/>
      <c r="C135" s="207"/>
      <c r="D135" s="207"/>
      <c r="E135" s="207"/>
      <c r="F135" s="207"/>
    </row>
    <row r="136" spans="1:6" ht="23.25" x14ac:dyDescent="0.35">
      <c r="A136" s="45"/>
      <c r="B136" s="207"/>
      <c r="C136" s="207"/>
      <c r="D136" s="207"/>
      <c r="E136" s="207"/>
      <c r="F136" s="207"/>
    </row>
    <row r="137" spans="1:6" ht="23.25" x14ac:dyDescent="0.35">
      <c r="A137" s="45"/>
      <c r="B137" s="207"/>
      <c r="C137" s="207"/>
      <c r="D137" s="207"/>
      <c r="E137" s="207"/>
      <c r="F137" s="207"/>
    </row>
    <row r="138" spans="1:6" ht="23.25" x14ac:dyDescent="0.35">
      <c r="A138" s="45"/>
      <c r="B138" s="207"/>
      <c r="C138" s="207"/>
      <c r="D138" s="207"/>
      <c r="E138" s="207"/>
      <c r="F138" s="207"/>
    </row>
    <row r="139" spans="1:6" ht="23.25" x14ac:dyDescent="0.35">
      <c r="A139" s="45"/>
      <c r="B139" s="207"/>
      <c r="C139" s="207"/>
      <c r="D139" s="207"/>
      <c r="E139" s="207"/>
      <c r="F139" s="207"/>
    </row>
    <row r="140" spans="1:6" ht="23.25" x14ac:dyDescent="0.35">
      <c r="A140" s="45"/>
      <c r="B140" s="207"/>
      <c r="C140" s="207"/>
      <c r="D140" s="207"/>
      <c r="E140" s="207"/>
      <c r="F140" s="207"/>
    </row>
    <row r="141" spans="1:6" ht="23.25" x14ac:dyDescent="0.35">
      <c r="A141" s="45"/>
      <c r="B141" s="207"/>
      <c r="C141" s="207"/>
      <c r="D141" s="207"/>
      <c r="E141" s="207"/>
      <c r="F141" s="207"/>
    </row>
    <row r="142" spans="1:6" ht="23.25" x14ac:dyDescent="0.35">
      <c r="A142" s="45"/>
      <c r="B142" s="207"/>
      <c r="C142" s="207"/>
      <c r="D142" s="207"/>
      <c r="E142" s="207"/>
      <c r="F142" s="207"/>
    </row>
    <row r="143" spans="1:6" ht="23.25" x14ac:dyDescent="0.35">
      <c r="A143" s="45"/>
      <c r="B143" s="207"/>
      <c r="C143" s="207"/>
      <c r="D143" s="207"/>
      <c r="E143" s="207"/>
      <c r="F143" s="207"/>
    </row>
    <row r="144" spans="1:6" ht="23.25" x14ac:dyDescent="0.35">
      <c r="A144" s="45"/>
      <c r="B144" s="207"/>
      <c r="C144" s="207"/>
      <c r="D144" s="207"/>
      <c r="E144" s="207"/>
      <c r="F144" s="207"/>
    </row>
    <row r="145" spans="1:6" ht="23.25" x14ac:dyDescent="0.35">
      <c r="A145" s="45"/>
      <c r="B145" s="207"/>
      <c r="C145" s="207"/>
      <c r="D145" s="207"/>
      <c r="E145" s="207"/>
      <c r="F145" s="207"/>
    </row>
    <row r="146" spans="1:6" ht="231" customHeight="1" x14ac:dyDescent="0.35">
      <c r="A146" s="45"/>
      <c r="B146" s="207"/>
      <c r="C146" s="207"/>
      <c r="D146" s="207"/>
      <c r="E146" s="207"/>
      <c r="F146" s="207"/>
    </row>
    <row r="147" spans="1:6" ht="23.25" x14ac:dyDescent="0.35">
      <c r="A147" s="45" t="s">
        <v>355</v>
      </c>
      <c r="B147" s="207"/>
      <c r="C147" s="207"/>
      <c r="D147" s="207"/>
      <c r="E147" s="207"/>
      <c r="F147" s="207"/>
    </row>
    <row r="148" spans="1:6" ht="23.25" x14ac:dyDescent="0.35">
      <c r="A148" s="45" t="s">
        <v>74</v>
      </c>
      <c r="B148" s="207"/>
      <c r="C148" s="207"/>
      <c r="D148" s="207"/>
      <c r="E148" s="207"/>
      <c r="F148" s="207"/>
    </row>
    <row r="149" spans="1:6" ht="23.25" x14ac:dyDescent="0.35">
      <c r="A149" s="44"/>
      <c r="B149" s="207"/>
      <c r="C149" s="207"/>
      <c r="D149" s="207"/>
      <c r="E149" s="207"/>
      <c r="F149" s="207"/>
    </row>
    <row r="150" spans="1:6" ht="23.25" x14ac:dyDescent="0.35">
      <c r="A150" s="45" t="s">
        <v>436</v>
      </c>
      <c r="B150" s="207"/>
      <c r="C150" s="207"/>
      <c r="D150" s="207"/>
      <c r="E150" s="207"/>
      <c r="F150" s="207"/>
    </row>
    <row r="151" spans="1:6" ht="23.25" x14ac:dyDescent="0.35">
      <c r="A151" s="45" t="s">
        <v>437</v>
      </c>
      <c r="B151" s="207"/>
      <c r="C151" s="207"/>
      <c r="D151" s="207"/>
      <c r="E151" s="207"/>
      <c r="F151" s="207"/>
    </row>
    <row r="152" spans="1:6" ht="23.25" x14ac:dyDescent="0.35">
      <c r="A152" s="45" t="s">
        <v>447</v>
      </c>
      <c r="B152" s="207"/>
      <c r="C152" s="207"/>
      <c r="D152" s="207"/>
      <c r="E152" s="207"/>
      <c r="F152" s="207"/>
    </row>
    <row r="153" spans="1:6" ht="23.25" x14ac:dyDescent="0.35">
      <c r="A153" s="45" t="s">
        <v>438</v>
      </c>
      <c r="B153" s="207"/>
      <c r="C153" s="207"/>
      <c r="D153" s="207"/>
      <c r="E153" s="207"/>
      <c r="F153" s="207"/>
    </row>
    <row r="154" spans="1:6" ht="23.25" x14ac:dyDescent="0.35">
      <c r="A154" s="45" t="s">
        <v>439</v>
      </c>
      <c r="B154" s="207"/>
      <c r="C154" s="207"/>
      <c r="D154" s="207"/>
      <c r="E154" s="207"/>
      <c r="F154" s="207"/>
    </row>
    <row r="155" spans="1:6" ht="23.25" x14ac:dyDescent="0.35">
      <c r="A155" s="45" t="s">
        <v>440</v>
      </c>
      <c r="B155" s="207"/>
      <c r="C155" s="207"/>
      <c r="D155" s="207"/>
      <c r="E155" s="207"/>
      <c r="F155" s="207"/>
    </row>
    <row r="156" spans="1:6" ht="23.25" x14ac:dyDescent="0.35">
      <c r="A156" s="45"/>
      <c r="B156" s="207"/>
      <c r="C156" s="207"/>
      <c r="D156" s="207"/>
      <c r="E156" s="207"/>
      <c r="F156" s="207"/>
    </row>
    <row r="157" spans="1:6" ht="23.25" x14ac:dyDescent="0.35">
      <c r="A157" s="44" t="s">
        <v>75</v>
      </c>
      <c r="B157" s="207"/>
      <c r="C157" s="207"/>
      <c r="D157" s="207"/>
      <c r="E157" s="207"/>
      <c r="F157" s="207"/>
    </row>
    <row r="158" spans="1:6" ht="23.25" x14ac:dyDescent="0.35">
      <c r="A158" s="45" t="s">
        <v>441</v>
      </c>
      <c r="B158" s="207"/>
      <c r="C158" s="207"/>
      <c r="D158" s="207"/>
      <c r="E158" s="207"/>
      <c r="F158" s="207"/>
    </row>
    <row r="159" spans="1:6" ht="23.25" x14ac:dyDescent="0.35">
      <c r="A159" s="45" t="s">
        <v>442</v>
      </c>
      <c r="B159" s="207"/>
      <c r="C159" s="207"/>
      <c r="D159" s="207"/>
      <c r="E159" s="207"/>
      <c r="F159" s="207"/>
    </row>
    <row r="160" spans="1:6" ht="23.25" x14ac:dyDescent="0.35">
      <c r="A160" s="45" t="s">
        <v>443</v>
      </c>
      <c r="B160" s="207"/>
      <c r="C160" s="207"/>
      <c r="D160" s="207"/>
      <c r="E160" s="207"/>
      <c r="F160" s="207"/>
    </row>
    <row r="161" spans="1:6" ht="23.25" x14ac:dyDescent="0.35">
      <c r="A161" s="214"/>
      <c r="B161" s="207"/>
      <c r="C161" s="207"/>
      <c r="D161" s="207"/>
      <c r="E161" s="207"/>
      <c r="F161" s="207"/>
    </row>
    <row r="162" spans="1:6" ht="23.25" x14ac:dyDescent="0.35">
      <c r="A162" s="214"/>
      <c r="B162" s="207"/>
      <c r="C162" s="207"/>
      <c r="D162" s="207"/>
      <c r="E162" s="207"/>
      <c r="F162" s="207"/>
    </row>
    <row r="163" spans="1:6" ht="23.25" x14ac:dyDescent="0.35">
      <c r="A163" s="214"/>
      <c r="B163" s="207"/>
      <c r="C163" s="207"/>
      <c r="D163" s="207"/>
      <c r="E163" s="207"/>
      <c r="F163" s="207"/>
    </row>
    <row r="164" spans="1:6" ht="23.25" x14ac:dyDescent="0.35">
      <c r="A164" s="214"/>
      <c r="B164" s="207"/>
      <c r="C164" s="207"/>
      <c r="D164" s="207"/>
      <c r="E164" s="207"/>
      <c r="F164" s="207"/>
    </row>
    <row r="165" spans="1:6" ht="23.25" x14ac:dyDescent="0.35">
      <c r="A165" s="214"/>
      <c r="B165" s="207"/>
      <c r="C165" s="207"/>
      <c r="D165" s="207"/>
      <c r="E165" s="207"/>
      <c r="F165" s="207"/>
    </row>
    <row r="166" spans="1:6" ht="23.25" x14ac:dyDescent="0.35">
      <c r="A166" s="214"/>
      <c r="B166" s="207"/>
      <c r="C166" s="207"/>
      <c r="D166" s="207"/>
      <c r="E166" s="207"/>
      <c r="F166" s="207"/>
    </row>
    <row r="167" spans="1:6" ht="23.25" x14ac:dyDescent="0.35">
      <c r="A167" s="214"/>
      <c r="B167" s="207"/>
      <c r="C167" s="207"/>
      <c r="D167" s="207"/>
      <c r="E167" s="207"/>
      <c r="F167" s="207"/>
    </row>
    <row r="168" spans="1:6" ht="23.25" x14ac:dyDescent="0.35">
      <c r="A168" s="214" t="s">
        <v>76</v>
      </c>
      <c r="B168" s="207"/>
      <c r="C168" s="207"/>
      <c r="D168" s="207"/>
      <c r="E168" s="207"/>
      <c r="F168" s="207"/>
    </row>
    <row r="169" spans="1:6" ht="23.25" x14ac:dyDescent="0.35">
      <c r="A169" s="214"/>
      <c r="B169" s="207"/>
      <c r="C169" s="207"/>
      <c r="D169" s="207"/>
      <c r="E169" s="207"/>
      <c r="F169" s="207"/>
    </row>
    <row r="170" spans="1:6" ht="23.25" x14ac:dyDescent="0.35">
      <c r="A170" s="214"/>
      <c r="B170" s="207"/>
      <c r="C170" s="207"/>
      <c r="D170" s="207"/>
      <c r="E170" s="207"/>
      <c r="F170" s="207"/>
    </row>
    <row r="171" spans="1:6" ht="285" customHeight="1" x14ac:dyDescent="0.35">
      <c r="A171" s="45"/>
      <c r="B171" s="207"/>
      <c r="C171" s="207"/>
      <c r="D171" s="207"/>
      <c r="E171" s="207"/>
      <c r="F171" s="207"/>
    </row>
    <row r="172" spans="1:6" ht="23.25" x14ac:dyDescent="0.35">
      <c r="A172" s="207"/>
      <c r="B172" s="207"/>
      <c r="C172" s="207"/>
      <c r="D172" s="207"/>
      <c r="E172" s="207"/>
      <c r="F172" s="207"/>
    </row>
    <row r="173" spans="1:6" ht="23.25" x14ac:dyDescent="0.35">
      <c r="A173" s="207"/>
      <c r="B173" s="207"/>
      <c r="C173" s="207"/>
      <c r="D173" s="207"/>
      <c r="E173" s="207"/>
      <c r="F173" s="207"/>
    </row>
    <row r="174" spans="1:6" ht="23.25" x14ac:dyDescent="0.35">
      <c r="A174" s="207"/>
      <c r="B174" s="207"/>
      <c r="C174" s="207"/>
      <c r="D174" s="207"/>
      <c r="E174" s="207"/>
      <c r="F174" s="207"/>
    </row>
    <row r="175" spans="1:6" ht="23.25" x14ac:dyDescent="0.35">
      <c r="A175" s="207"/>
      <c r="B175" s="207"/>
      <c r="C175" s="207"/>
      <c r="D175" s="207"/>
      <c r="E175" s="207"/>
      <c r="F175" s="207"/>
    </row>
    <row r="176" spans="1:6" ht="33.75" x14ac:dyDescent="0.35">
      <c r="A176" s="225" t="s">
        <v>352</v>
      </c>
      <c r="B176" s="207"/>
      <c r="C176" s="207"/>
      <c r="D176" s="207"/>
      <c r="E176" s="207"/>
      <c r="F176" s="207"/>
    </row>
    <row r="177" spans="1:6" ht="23.25" x14ac:dyDescent="0.35">
      <c r="A177" s="207"/>
      <c r="B177" s="207"/>
      <c r="C177" s="207"/>
      <c r="D177" s="207"/>
      <c r="E177" s="207"/>
      <c r="F177" s="207"/>
    </row>
    <row r="178" spans="1:6" ht="23.25" x14ac:dyDescent="0.35">
      <c r="A178" s="207"/>
      <c r="B178" s="207"/>
      <c r="C178" s="207"/>
      <c r="D178" s="207"/>
      <c r="E178" s="207"/>
      <c r="F178" s="207"/>
    </row>
    <row r="179" spans="1:6" ht="23.25" x14ac:dyDescent="0.35">
      <c r="A179" s="207"/>
      <c r="B179" s="207"/>
      <c r="C179" s="207"/>
      <c r="D179" s="207"/>
      <c r="E179" s="207"/>
      <c r="F179" s="207"/>
    </row>
    <row r="180" spans="1:6" ht="23.25" x14ac:dyDescent="0.35">
      <c r="A180" s="207"/>
      <c r="B180" s="207"/>
      <c r="C180" s="207"/>
      <c r="D180" s="207"/>
      <c r="E180" s="207"/>
      <c r="F180" s="207"/>
    </row>
    <row r="181" spans="1:6" ht="23.25" x14ac:dyDescent="0.35">
      <c r="A181" s="207"/>
      <c r="B181" s="207"/>
      <c r="C181" s="207"/>
      <c r="D181" s="207"/>
      <c r="E181" s="207"/>
      <c r="F181" s="207"/>
    </row>
    <row r="182" spans="1:6" ht="23.25" x14ac:dyDescent="0.35">
      <c r="A182" s="207"/>
      <c r="B182" s="207"/>
      <c r="C182" s="207"/>
      <c r="D182" s="207"/>
      <c r="E182" s="207"/>
      <c r="F182" s="207"/>
    </row>
    <row r="183" spans="1:6" ht="23.25" x14ac:dyDescent="0.35">
      <c r="A183" s="207"/>
      <c r="B183" s="207"/>
      <c r="C183" s="207"/>
      <c r="D183" s="207"/>
      <c r="E183" s="207"/>
      <c r="F183" s="207"/>
    </row>
    <row r="184" spans="1:6" ht="170.1" customHeight="1" x14ac:dyDescent="0.35">
      <c r="A184" s="207"/>
      <c r="B184" s="207"/>
      <c r="C184" s="207"/>
      <c r="D184" s="207"/>
      <c r="E184" s="207"/>
      <c r="F184" s="207"/>
    </row>
    <row r="185" spans="1:6" ht="36" x14ac:dyDescent="0.35">
      <c r="A185" s="224" t="s">
        <v>377</v>
      </c>
      <c r="B185" s="207"/>
      <c r="C185" s="207"/>
      <c r="D185" s="207"/>
      <c r="E185" s="207"/>
      <c r="F185" s="207"/>
    </row>
    <row r="186" spans="1:6" ht="23.25" x14ac:dyDescent="0.35">
      <c r="A186" s="51"/>
      <c r="B186" s="207"/>
      <c r="C186" s="207"/>
      <c r="D186" s="207"/>
      <c r="E186" s="207"/>
      <c r="F186" s="207"/>
    </row>
    <row r="187" spans="1:6" ht="23.25" x14ac:dyDescent="0.35">
      <c r="A187" s="51"/>
      <c r="B187" s="207"/>
      <c r="C187" s="207"/>
      <c r="D187" s="207"/>
      <c r="E187" s="207"/>
      <c r="F187" s="207"/>
    </row>
    <row r="188" spans="1:6" ht="23.25" x14ac:dyDescent="0.35">
      <c r="A188" s="45" t="s">
        <v>444</v>
      </c>
      <c r="B188" s="207"/>
      <c r="C188" s="207"/>
      <c r="D188" s="207"/>
      <c r="E188" s="207"/>
      <c r="F188" s="207"/>
    </row>
    <row r="189" spans="1:6" ht="23.25" x14ac:dyDescent="0.35">
      <c r="A189" s="45" t="s">
        <v>445</v>
      </c>
      <c r="B189" s="207"/>
      <c r="C189" s="207"/>
      <c r="D189" s="207"/>
      <c r="E189" s="207"/>
      <c r="F189" s="207"/>
    </row>
    <row r="190" spans="1:6" ht="23.25" x14ac:dyDescent="0.35">
      <c r="A190" s="45" t="s">
        <v>356</v>
      </c>
      <c r="B190" s="207"/>
      <c r="C190" s="207"/>
      <c r="D190" s="207"/>
      <c r="E190" s="207"/>
      <c r="F190" s="207"/>
    </row>
    <row r="191" spans="1:6" ht="23.25" x14ac:dyDescent="0.35">
      <c r="A191" s="44" t="s">
        <v>77</v>
      </c>
      <c r="B191" s="207"/>
      <c r="C191" s="207"/>
      <c r="D191" s="207"/>
      <c r="E191" s="207"/>
      <c r="F191" s="207"/>
    </row>
    <row r="192" spans="1:6" ht="23.25" x14ac:dyDescent="0.35">
      <c r="A192" s="45" t="s">
        <v>357</v>
      </c>
      <c r="B192" s="207"/>
      <c r="C192" s="207"/>
      <c r="D192" s="207"/>
      <c r="E192" s="207"/>
      <c r="F192" s="207"/>
    </row>
    <row r="193" spans="1:6" ht="23.25" x14ac:dyDescent="0.35">
      <c r="A193" s="45"/>
      <c r="B193" s="207"/>
      <c r="C193" s="207"/>
      <c r="D193" s="207"/>
      <c r="E193" s="207"/>
      <c r="F193" s="207"/>
    </row>
    <row r="194" spans="1:6" ht="21" customHeight="1" x14ac:dyDescent="0.35">
      <c r="A194" s="215" t="s">
        <v>358</v>
      </c>
      <c r="B194" s="207"/>
      <c r="C194" s="207"/>
      <c r="D194" s="207"/>
      <c r="E194" s="207"/>
      <c r="F194" s="207"/>
    </row>
    <row r="195" spans="1:6" ht="23.1" customHeight="1" x14ac:dyDescent="0.35">
      <c r="A195" s="215" t="s">
        <v>359</v>
      </c>
      <c r="B195" s="207"/>
      <c r="C195" s="207"/>
      <c r="D195" s="207"/>
      <c r="E195" s="207"/>
      <c r="F195" s="207"/>
    </row>
    <row r="196" spans="1:6" ht="23.25" x14ac:dyDescent="0.35">
      <c r="A196" s="216" t="s">
        <v>47</v>
      </c>
      <c r="B196" s="207"/>
      <c r="C196" s="207"/>
      <c r="D196" s="207"/>
      <c r="E196" s="207"/>
      <c r="F196" s="207"/>
    </row>
    <row r="197" spans="1:6" ht="23.25" x14ac:dyDescent="0.35">
      <c r="A197" s="45" t="s">
        <v>446</v>
      </c>
      <c r="B197" s="207"/>
      <c r="C197" s="207"/>
      <c r="D197" s="207"/>
      <c r="E197" s="207"/>
      <c r="F197" s="207"/>
    </row>
    <row r="198" spans="1:6" ht="23.25" x14ac:dyDescent="0.35">
      <c r="A198" s="51" t="s">
        <v>78</v>
      </c>
      <c r="B198" s="207"/>
      <c r="C198" s="207"/>
      <c r="D198" s="207"/>
      <c r="E198" s="207"/>
      <c r="F198" s="207"/>
    </row>
    <row r="199" spans="1:6" ht="23.25" x14ac:dyDescent="0.35">
      <c r="A199" s="45" t="s">
        <v>360</v>
      </c>
      <c r="B199" s="207"/>
      <c r="C199" s="207"/>
      <c r="D199" s="207"/>
      <c r="E199" s="207"/>
      <c r="F199" s="207"/>
    </row>
    <row r="200" spans="1:6" ht="23.25" x14ac:dyDescent="0.35">
      <c r="A200" s="45" t="s">
        <v>361</v>
      </c>
      <c r="B200" s="207"/>
      <c r="C200" s="207"/>
      <c r="D200" s="207"/>
      <c r="E200" s="207"/>
      <c r="F200" s="207"/>
    </row>
    <row r="201" spans="1:6" ht="23.25" x14ac:dyDescent="0.35">
      <c r="A201" s="45" t="s">
        <v>362</v>
      </c>
      <c r="B201" s="207"/>
      <c r="C201" s="207"/>
      <c r="D201" s="207"/>
      <c r="E201" s="207"/>
      <c r="F201" s="207"/>
    </row>
    <row r="202" spans="1:6" ht="23.25" x14ac:dyDescent="0.35">
      <c r="A202" s="45" t="s">
        <v>363</v>
      </c>
      <c r="B202" s="207"/>
      <c r="C202" s="207"/>
      <c r="D202" s="207"/>
      <c r="E202" s="207"/>
      <c r="F202" s="207"/>
    </row>
    <row r="203" spans="1:6" ht="23.25" x14ac:dyDescent="0.35">
      <c r="A203" s="45" t="s">
        <v>364</v>
      </c>
      <c r="B203" s="207"/>
      <c r="C203" s="207"/>
      <c r="D203" s="207"/>
      <c r="E203" s="207"/>
      <c r="F203" s="207"/>
    </row>
    <row r="204" spans="1:6" ht="23.25" x14ac:dyDescent="0.35">
      <c r="A204" s="51"/>
      <c r="B204" s="207"/>
      <c r="C204" s="207"/>
      <c r="D204" s="207"/>
      <c r="E204" s="207"/>
      <c r="F204" s="207"/>
    </row>
    <row r="205" spans="1:6" ht="23.25" x14ac:dyDescent="0.35">
      <c r="A205" s="51"/>
      <c r="B205" s="207"/>
      <c r="C205" s="207"/>
      <c r="D205" s="207"/>
      <c r="E205" s="207"/>
      <c r="F205" s="207"/>
    </row>
    <row r="206" spans="1:6" ht="248.1" customHeight="1" x14ac:dyDescent="0.35">
      <c r="A206" s="45"/>
      <c r="B206" s="207"/>
      <c r="C206" s="207"/>
      <c r="D206" s="207"/>
      <c r="E206" s="207"/>
      <c r="F206" s="207"/>
    </row>
    <row r="207" spans="1:6" ht="45" customHeight="1" x14ac:dyDescent="0.35">
      <c r="A207" s="223" t="s">
        <v>79</v>
      </c>
      <c r="B207" s="207"/>
      <c r="C207" s="207"/>
      <c r="D207" s="207"/>
      <c r="E207" s="207"/>
      <c r="F207" s="207"/>
    </row>
    <row r="208" spans="1:6" ht="23.25" x14ac:dyDescent="0.35">
      <c r="A208" s="51"/>
      <c r="B208" s="207"/>
      <c r="C208" s="207"/>
      <c r="D208" s="207"/>
      <c r="E208" s="207"/>
      <c r="F208" s="207"/>
    </row>
    <row r="209" spans="1:6" ht="23.25" x14ac:dyDescent="0.35">
      <c r="A209" s="51"/>
      <c r="B209" s="207"/>
      <c r="C209" s="207"/>
      <c r="D209" s="207"/>
      <c r="E209" s="207"/>
      <c r="F209" s="207"/>
    </row>
    <row r="210" spans="1:6" ht="23.25" x14ac:dyDescent="0.35">
      <c r="A210" s="51"/>
      <c r="B210" s="207"/>
      <c r="C210" s="207"/>
      <c r="D210" s="207"/>
      <c r="E210" s="207"/>
      <c r="F210" s="207"/>
    </row>
    <row r="211" spans="1:6" ht="23.25" x14ac:dyDescent="0.35">
      <c r="A211" s="217"/>
      <c r="B211" s="207"/>
      <c r="C211" s="207"/>
      <c r="D211" s="207"/>
      <c r="E211" s="207"/>
      <c r="F211" s="207"/>
    </row>
    <row r="212" spans="1:6" ht="23.25" x14ac:dyDescent="0.35">
      <c r="A212" s="45"/>
      <c r="B212" s="207"/>
      <c r="C212" s="207"/>
      <c r="D212" s="207"/>
      <c r="E212" s="207"/>
      <c r="F212" s="207"/>
    </row>
    <row r="213" spans="1:6" ht="23.25" x14ac:dyDescent="0.35">
      <c r="A213" s="47" t="s">
        <v>80</v>
      </c>
      <c r="B213" s="207"/>
      <c r="C213" s="207"/>
      <c r="D213" s="207"/>
      <c r="E213" s="207"/>
      <c r="F213" s="207"/>
    </row>
    <row r="214" spans="1:6" ht="23.25" x14ac:dyDescent="0.35">
      <c r="A214" s="45" t="s">
        <v>81</v>
      </c>
      <c r="B214" s="207"/>
      <c r="C214" s="207"/>
      <c r="D214" s="207"/>
      <c r="E214" s="207"/>
      <c r="F214" s="207"/>
    </row>
    <row r="215" spans="1:6" ht="23.25" x14ac:dyDescent="0.35">
      <c r="A215" s="45" t="s">
        <v>82</v>
      </c>
      <c r="B215" s="207"/>
      <c r="C215" s="207"/>
      <c r="D215" s="207"/>
      <c r="E215" s="207"/>
      <c r="F215" s="207"/>
    </row>
    <row r="216" spans="1:6" ht="23.25" x14ac:dyDescent="0.35">
      <c r="A216" s="45"/>
      <c r="B216" s="207"/>
      <c r="C216" s="207"/>
      <c r="D216" s="207"/>
      <c r="E216" s="207"/>
      <c r="F216" s="207"/>
    </row>
    <row r="217" spans="1:6" ht="23.25" x14ac:dyDescent="0.35">
      <c r="A217" s="44" t="s">
        <v>365</v>
      </c>
      <c r="B217" s="207"/>
      <c r="C217" s="207"/>
      <c r="D217" s="207"/>
      <c r="E217" s="207"/>
      <c r="F217" s="207"/>
    </row>
    <row r="218" spans="1:6" ht="23.25" x14ac:dyDescent="0.35">
      <c r="A218" s="45" t="s">
        <v>83</v>
      </c>
      <c r="B218" s="207"/>
      <c r="C218" s="207"/>
      <c r="D218" s="207"/>
      <c r="E218" s="207"/>
      <c r="F218" s="207"/>
    </row>
    <row r="219" spans="1:6" ht="23.25" x14ac:dyDescent="0.35">
      <c r="A219" s="45" t="s">
        <v>84</v>
      </c>
      <c r="B219" s="207"/>
      <c r="C219" s="207"/>
      <c r="D219" s="207"/>
      <c r="E219" s="207"/>
      <c r="F219" s="207"/>
    </row>
    <row r="220" spans="1:6" ht="23.25" x14ac:dyDescent="0.35">
      <c r="A220" s="45"/>
      <c r="B220" s="207"/>
      <c r="C220" s="207"/>
      <c r="D220" s="207"/>
      <c r="E220" s="207"/>
      <c r="F220" s="207"/>
    </row>
    <row r="221" spans="1:6" ht="23.25" x14ac:dyDescent="0.35">
      <c r="A221" s="44" t="s">
        <v>366</v>
      </c>
      <c r="B221" s="207"/>
      <c r="C221" s="207"/>
      <c r="D221" s="207"/>
      <c r="E221" s="207"/>
      <c r="F221" s="207"/>
    </row>
    <row r="222" spans="1:6" ht="23.25" x14ac:dyDescent="0.35">
      <c r="A222" s="45" t="s">
        <v>85</v>
      </c>
      <c r="B222" s="207"/>
      <c r="C222" s="207"/>
      <c r="D222" s="207"/>
      <c r="E222" s="207"/>
      <c r="F222" s="207"/>
    </row>
    <row r="223" spans="1:6" ht="23.25" x14ac:dyDescent="0.35">
      <c r="A223" s="44"/>
      <c r="B223" s="207"/>
      <c r="C223" s="207"/>
      <c r="D223" s="207"/>
      <c r="E223" s="207"/>
      <c r="F223" s="207"/>
    </row>
    <row r="224" spans="1:6" ht="23.25" x14ac:dyDescent="0.35">
      <c r="A224" s="44" t="s">
        <v>367</v>
      </c>
      <c r="B224" s="207"/>
      <c r="C224" s="207"/>
      <c r="D224" s="207"/>
      <c r="E224" s="207"/>
      <c r="F224" s="207"/>
    </row>
    <row r="225" spans="1:6" ht="23.25" x14ac:dyDescent="0.35">
      <c r="A225" s="45" t="s">
        <v>86</v>
      </c>
      <c r="B225" s="207"/>
      <c r="C225" s="207"/>
      <c r="D225" s="207"/>
      <c r="E225" s="207"/>
      <c r="F225" s="207"/>
    </row>
    <row r="226" spans="1:6" ht="23.25" x14ac:dyDescent="0.35">
      <c r="A226" s="45" t="s">
        <v>87</v>
      </c>
      <c r="B226" s="207"/>
      <c r="C226" s="207"/>
      <c r="D226" s="207"/>
      <c r="E226" s="207"/>
      <c r="F226" s="207"/>
    </row>
    <row r="227" spans="1:6" ht="23.25" x14ac:dyDescent="0.35">
      <c r="A227" s="45"/>
      <c r="B227" s="207"/>
      <c r="C227" s="207"/>
      <c r="D227" s="207"/>
      <c r="E227" s="207"/>
      <c r="F227" s="207"/>
    </row>
    <row r="228" spans="1:6" ht="23.25" x14ac:dyDescent="0.35">
      <c r="A228" s="44" t="s">
        <v>368</v>
      </c>
      <c r="B228" s="207"/>
      <c r="C228" s="207"/>
      <c r="D228" s="207"/>
      <c r="E228" s="207"/>
      <c r="F228" s="207"/>
    </row>
    <row r="229" spans="1:6" ht="23.25" x14ac:dyDescent="0.35">
      <c r="A229" s="45" t="s">
        <v>88</v>
      </c>
      <c r="B229" s="207"/>
      <c r="C229" s="207"/>
      <c r="D229" s="207"/>
      <c r="E229" s="207"/>
      <c r="F229" s="207"/>
    </row>
    <row r="230" spans="1:6" ht="23.25" x14ac:dyDescent="0.35">
      <c r="A230" s="44" t="s">
        <v>369</v>
      </c>
      <c r="B230" s="207"/>
      <c r="C230" s="207"/>
      <c r="D230" s="207"/>
      <c r="E230" s="207"/>
      <c r="F230" s="207"/>
    </row>
    <row r="231" spans="1:6" ht="23.25" x14ac:dyDescent="0.35">
      <c r="A231" s="45" t="s">
        <v>89</v>
      </c>
      <c r="B231" s="207"/>
      <c r="C231" s="207"/>
      <c r="D231" s="207"/>
      <c r="E231" s="207"/>
      <c r="F231" s="207"/>
    </row>
    <row r="232" spans="1:6" ht="219.95" customHeight="1" x14ac:dyDescent="0.35">
      <c r="A232" s="45"/>
      <c r="B232" s="207"/>
      <c r="C232" s="207"/>
      <c r="D232" s="207"/>
      <c r="E232" s="207"/>
      <c r="F232" s="207"/>
    </row>
    <row r="233" spans="1:6" ht="23.25" x14ac:dyDescent="0.35">
      <c r="A233" s="48" t="s">
        <v>90</v>
      </c>
      <c r="B233" s="207"/>
      <c r="C233" s="207"/>
      <c r="D233" s="207"/>
      <c r="E233" s="207"/>
      <c r="F233" s="207"/>
    </row>
    <row r="234" spans="1:6" ht="23.25" x14ac:dyDescent="0.35">
      <c r="A234" s="45"/>
      <c r="B234" s="207"/>
      <c r="C234" s="207"/>
      <c r="D234" s="207"/>
      <c r="E234" s="207"/>
      <c r="F234" s="207"/>
    </row>
    <row r="235" spans="1:6" ht="23.25" x14ac:dyDescent="0.35">
      <c r="A235" s="49"/>
      <c r="B235" s="207"/>
      <c r="C235" s="207"/>
      <c r="D235" s="207"/>
      <c r="E235" s="207"/>
      <c r="F235" s="207"/>
    </row>
    <row r="236" spans="1:6" ht="23.25" x14ac:dyDescent="0.35">
      <c r="A236" s="50" t="s">
        <v>370</v>
      </c>
      <c r="B236" s="207"/>
      <c r="C236" s="207"/>
      <c r="D236" s="207"/>
      <c r="E236" s="207"/>
      <c r="F236" s="207"/>
    </row>
    <row r="237" spans="1:6" ht="23.25" x14ac:dyDescent="0.35">
      <c r="A237" s="218" t="s">
        <v>91</v>
      </c>
      <c r="B237" s="207"/>
      <c r="C237" s="207"/>
      <c r="D237" s="207"/>
      <c r="E237" s="207"/>
      <c r="F237" s="207"/>
    </row>
    <row r="238" spans="1:6" ht="23.25" x14ac:dyDescent="0.35">
      <c r="A238" s="218" t="s">
        <v>92</v>
      </c>
      <c r="B238" s="207"/>
      <c r="C238" s="207"/>
      <c r="D238" s="207"/>
      <c r="E238" s="207"/>
      <c r="F238" s="207"/>
    </row>
    <row r="239" spans="1:6" ht="23.25" x14ac:dyDescent="0.35">
      <c r="A239" s="218" t="s">
        <v>93</v>
      </c>
      <c r="B239" s="207"/>
      <c r="C239" s="207"/>
      <c r="D239" s="207"/>
      <c r="E239" s="207"/>
      <c r="F239" s="207"/>
    </row>
    <row r="240" spans="1:6" ht="23.25" x14ac:dyDescent="0.35">
      <c r="A240" s="218" t="s">
        <v>94</v>
      </c>
      <c r="B240" s="207"/>
      <c r="C240" s="207"/>
      <c r="D240" s="207"/>
      <c r="E240" s="207"/>
      <c r="F240" s="207"/>
    </row>
    <row r="241" spans="1:6" ht="23.25" x14ac:dyDescent="0.35">
      <c r="A241" s="218"/>
      <c r="B241" s="207"/>
      <c r="C241" s="207"/>
      <c r="D241" s="207"/>
      <c r="E241" s="207"/>
      <c r="F241" s="207"/>
    </row>
    <row r="242" spans="1:6" ht="23.25" x14ac:dyDescent="0.35">
      <c r="A242" s="50" t="s">
        <v>371</v>
      </c>
      <c r="B242" s="207"/>
      <c r="C242" s="207"/>
      <c r="D242" s="207"/>
      <c r="E242" s="207"/>
      <c r="F242" s="207"/>
    </row>
    <row r="243" spans="1:6" ht="23.25" x14ac:dyDescent="0.35">
      <c r="A243" s="219" t="s">
        <v>95</v>
      </c>
      <c r="B243" s="207"/>
      <c r="C243" s="207"/>
      <c r="D243" s="207"/>
      <c r="E243" s="207"/>
      <c r="F243" s="207"/>
    </row>
    <row r="244" spans="1:6" ht="23.25" x14ac:dyDescent="0.35">
      <c r="A244" s="45" t="s">
        <v>96</v>
      </c>
      <c r="B244" s="207"/>
      <c r="C244" s="207"/>
      <c r="D244" s="207"/>
      <c r="E244" s="207"/>
      <c r="F244" s="207"/>
    </row>
    <row r="245" spans="1:6" ht="23.25" x14ac:dyDescent="0.35">
      <c r="A245" s="45" t="s">
        <v>97</v>
      </c>
      <c r="B245" s="207"/>
      <c r="C245" s="207"/>
      <c r="D245" s="207"/>
      <c r="E245" s="207"/>
      <c r="F245" s="207"/>
    </row>
    <row r="246" spans="1:6" ht="23.25" x14ac:dyDescent="0.35">
      <c r="A246" s="45"/>
      <c r="B246" s="207"/>
      <c r="C246" s="207"/>
      <c r="D246" s="207"/>
      <c r="E246" s="207"/>
      <c r="F246" s="207"/>
    </row>
    <row r="247" spans="1:6" ht="23.25" x14ac:dyDescent="0.35">
      <c r="A247" s="50" t="s">
        <v>372</v>
      </c>
      <c r="B247" s="207"/>
      <c r="C247" s="207"/>
      <c r="D247" s="207"/>
      <c r="E247" s="207"/>
      <c r="F247" s="207"/>
    </row>
    <row r="248" spans="1:6" ht="23.25" x14ac:dyDescent="0.35">
      <c r="A248" s="220" t="s">
        <v>98</v>
      </c>
      <c r="B248" s="207"/>
      <c r="C248" s="207"/>
      <c r="D248" s="207"/>
      <c r="E248" s="207"/>
      <c r="F248" s="207"/>
    </row>
    <row r="249" spans="1:6" ht="23.25" x14ac:dyDescent="0.35">
      <c r="A249" s="220" t="s">
        <v>99</v>
      </c>
      <c r="B249" s="207"/>
      <c r="C249" s="207"/>
      <c r="D249" s="207"/>
      <c r="E249" s="207"/>
      <c r="F249" s="207"/>
    </row>
    <row r="250" spans="1:6" ht="23.25" x14ac:dyDescent="0.35">
      <c r="A250" s="220" t="s">
        <v>100</v>
      </c>
      <c r="B250" s="207"/>
      <c r="C250" s="207"/>
      <c r="D250" s="207"/>
      <c r="E250" s="207"/>
      <c r="F250" s="207"/>
    </row>
    <row r="251" spans="1:6" ht="23.25" x14ac:dyDescent="0.35">
      <c r="A251" s="45" t="s">
        <v>101</v>
      </c>
      <c r="B251" s="207"/>
      <c r="C251" s="207"/>
      <c r="D251" s="207"/>
      <c r="E251" s="207"/>
      <c r="F251" s="207"/>
    </row>
    <row r="252" spans="1:6" ht="23.25" x14ac:dyDescent="0.35">
      <c r="A252" s="45"/>
      <c r="B252" s="207"/>
      <c r="C252" s="207"/>
      <c r="D252" s="207"/>
      <c r="E252" s="207"/>
      <c r="F252" s="207"/>
    </row>
    <row r="253" spans="1:6" ht="23.25" x14ac:dyDescent="0.35">
      <c r="A253" s="45"/>
      <c r="B253" s="207"/>
      <c r="C253" s="207"/>
      <c r="D253" s="207"/>
      <c r="E253" s="207"/>
      <c r="F253" s="207"/>
    </row>
    <row r="254" spans="1:6" ht="23.25" x14ac:dyDescent="0.35">
      <c r="A254" s="45"/>
      <c r="B254" s="207"/>
      <c r="C254" s="207"/>
      <c r="D254" s="207"/>
      <c r="E254" s="207"/>
      <c r="F254" s="207"/>
    </row>
    <row r="255" spans="1:6" ht="23.25" x14ac:dyDescent="0.35">
      <c r="A255" s="45"/>
      <c r="B255" s="207"/>
      <c r="C255" s="207"/>
      <c r="D255" s="207"/>
      <c r="E255" s="207"/>
      <c r="F255" s="207"/>
    </row>
    <row r="256" spans="1:6" ht="23.25" x14ac:dyDescent="0.35">
      <c r="A256" s="45"/>
      <c r="B256" s="207"/>
      <c r="C256" s="207"/>
      <c r="D256" s="207"/>
      <c r="E256" s="207"/>
      <c r="F256" s="207"/>
    </row>
    <row r="257" spans="1:6" ht="23.25" x14ac:dyDescent="0.35">
      <c r="A257" s="45"/>
      <c r="B257" s="207"/>
      <c r="C257" s="207"/>
      <c r="D257" s="207"/>
      <c r="E257" s="207"/>
      <c r="F257" s="207"/>
    </row>
    <row r="258" spans="1:6" ht="23.25" x14ac:dyDescent="0.35">
      <c r="A258" s="45"/>
      <c r="B258" s="207"/>
      <c r="C258" s="207"/>
      <c r="D258" s="207"/>
      <c r="E258" s="207"/>
      <c r="F258" s="207"/>
    </row>
    <row r="259" spans="1:6" ht="23.25" x14ac:dyDescent="0.35">
      <c r="A259" s="45"/>
      <c r="B259" s="207"/>
      <c r="C259" s="207"/>
      <c r="D259" s="207"/>
      <c r="E259" s="207"/>
      <c r="F259" s="207"/>
    </row>
    <row r="260" spans="1:6" ht="23.25" x14ac:dyDescent="0.35">
      <c r="A260" s="45"/>
      <c r="B260" s="207"/>
      <c r="C260" s="207"/>
      <c r="D260" s="207"/>
      <c r="E260" s="207"/>
      <c r="F260" s="207"/>
    </row>
    <row r="261" spans="1:6" ht="23.25" x14ac:dyDescent="0.35">
      <c r="A261" s="45"/>
      <c r="B261" s="207"/>
      <c r="C261" s="207"/>
      <c r="D261" s="207"/>
      <c r="E261" s="207"/>
      <c r="F261" s="207"/>
    </row>
    <row r="262" spans="1:6" ht="23.25" x14ac:dyDescent="0.35">
      <c r="A262" s="45"/>
      <c r="B262" s="207"/>
      <c r="C262" s="207"/>
      <c r="D262" s="207"/>
      <c r="E262" s="207"/>
      <c r="F262" s="207"/>
    </row>
    <row r="263" spans="1:6" ht="23.25" x14ac:dyDescent="0.35">
      <c r="A263" s="45"/>
      <c r="B263" s="207"/>
      <c r="C263" s="207"/>
      <c r="D263" s="207"/>
      <c r="E263" s="207"/>
      <c r="F263" s="207"/>
    </row>
    <row r="264" spans="1:6" ht="23.25" x14ac:dyDescent="0.35">
      <c r="A264" s="45"/>
      <c r="B264" s="207"/>
      <c r="C264" s="207"/>
      <c r="D264" s="207"/>
      <c r="E264" s="207"/>
      <c r="F264" s="207"/>
    </row>
    <row r="265" spans="1:6" ht="23.25" x14ac:dyDescent="0.35">
      <c r="A265" s="45"/>
      <c r="B265" s="207"/>
      <c r="C265" s="207"/>
      <c r="D265" s="207"/>
      <c r="E265" s="207"/>
      <c r="F265" s="207"/>
    </row>
    <row r="266" spans="1:6" ht="23.25" x14ac:dyDescent="0.35">
      <c r="A266" s="45"/>
      <c r="B266" s="207"/>
      <c r="C266" s="207"/>
      <c r="D266" s="207"/>
      <c r="E266" s="207"/>
      <c r="F266" s="207"/>
    </row>
    <row r="267" spans="1:6" ht="228.95" customHeight="1" x14ac:dyDescent="0.35">
      <c r="A267" s="45"/>
      <c r="B267" s="207"/>
      <c r="C267" s="207"/>
      <c r="D267" s="207"/>
      <c r="E267" s="207"/>
      <c r="F267" s="207"/>
    </row>
    <row r="268" spans="1:6" ht="23.25" x14ac:dyDescent="0.35">
      <c r="A268" s="48" t="s">
        <v>376</v>
      </c>
      <c r="B268" s="207"/>
      <c r="C268" s="207"/>
      <c r="D268" s="207"/>
      <c r="E268" s="207"/>
      <c r="F268" s="207"/>
    </row>
    <row r="269" spans="1:6" ht="23.25" x14ac:dyDescent="0.35">
      <c r="A269" s="45"/>
      <c r="B269" s="207"/>
      <c r="C269" s="207"/>
      <c r="D269" s="207"/>
      <c r="E269" s="207"/>
      <c r="F269" s="207"/>
    </row>
    <row r="270" spans="1:6" ht="23.25" x14ac:dyDescent="0.35">
      <c r="A270" s="45" t="s">
        <v>102</v>
      </c>
      <c r="B270" s="207"/>
      <c r="C270" s="207"/>
      <c r="D270" s="207"/>
      <c r="E270" s="207"/>
      <c r="F270" s="207"/>
    </row>
    <row r="271" spans="1:6" ht="23.25" x14ac:dyDescent="0.35">
      <c r="A271" s="45" t="s">
        <v>103</v>
      </c>
      <c r="B271" s="207"/>
      <c r="C271" s="207"/>
      <c r="D271" s="207"/>
      <c r="E271" s="207"/>
      <c r="F271" s="207"/>
    </row>
    <row r="272" spans="1:6" ht="23.25" x14ac:dyDescent="0.35">
      <c r="A272" s="45"/>
      <c r="B272" s="207"/>
      <c r="C272" s="207"/>
      <c r="D272" s="207"/>
      <c r="E272" s="207"/>
      <c r="F272" s="207"/>
    </row>
    <row r="273" spans="1:6" ht="23.25" x14ac:dyDescent="0.35">
      <c r="A273" s="45"/>
      <c r="B273" s="207"/>
      <c r="C273" s="207"/>
      <c r="D273" s="207"/>
      <c r="E273" s="207"/>
      <c r="F273" s="207"/>
    </row>
    <row r="274" spans="1:6" ht="23.25" x14ac:dyDescent="0.35">
      <c r="A274" s="45"/>
      <c r="B274" s="207"/>
      <c r="C274" s="207"/>
      <c r="D274" s="207"/>
      <c r="E274" s="207"/>
      <c r="F274" s="207"/>
    </row>
    <row r="275" spans="1:6" ht="23.25" x14ac:dyDescent="0.35">
      <c r="A275" s="45"/>
      <c r="B275" s="207"/>
      <c r="C275" s="207"/>
      <c r="D275" s="207"/>
      <c r="E275" s="207"/>
      <c r="F275" s="207"/>
    </row>
    <row r="276" spans="1:6" ht="23.25" x14ac:dyDescent="0.35">
      <c r="A276" s="45"/>
      <c r="B276" s="207"/>
      <c r="C276" s="207"/>
      <c r="D276" s="207"/>
      <c r="E276" s="207"/>
      <c r="F276" s="207"/>
    </row>
    <row r="277" spans="1:6" ht="23.25" x14ac:dyDescent="0.35">
      <c r="A277" s="45"/>
      <c r="B277" s="207"/>
      <c r="C277" s="207"/>
      <c r="D277" s="207"/>
      <c r="E277" s="207"/>
      <c r="F277" s="207"/>
    </row>
    <row r="278" spans="1:6" ht="23.25" x14ac:dyDescent="0.35">
      <c r="A278" s="45"/>
      <c r="B278" s="207"/>
      <c r="C278" s="207"/>
      <c r="D278" s="207"/>
      <c r="E278" s="207"/>
      <c r="F278" s="207"/>
    </row>
    <row r="279" spans="1:6" ht="23.25" x14ac:dyDescent="0.35">
      <c r="A279" s="45"/>
      <c r="B279" s="207"/>
      <c r="C279" s="207"/>
      <c r="D279" s="207"/>
      <c r="E279" s="207"/>
      <c r="F279" s="207"/>
    </row>
    <row r="280" spans="1:6" ht="23.25" x14ac:dyDescent="0.35">
      <c r="A280" s="45"/>
      <c r="B280" s="207"/>
      <c r="C280" s="207"/>
      <c r="D280" s="207"/>
      <c r="E280" s="207"/>
      <c r="F280" s="207"/>
    </row>
    <row r="281" spans="1:6" ht="23.25" x14ac:dyDescent="0.35">
      <c r="A281" s="45"/>
      <c r="B281" s="207"/>
      <c r="C281" s="207"/>
      <c r="D281" s="207"/>
      <c r="E281" s="207"/>
      <c r="F281" s="207"/>
    </row>
    <row r="282" spans="1:6" ht="23.25" x14ac:dyDescent="0.35">
      <c r="A282" s="45"/>
      <c r="B282" s="207"/>
      <c r="C282" s="207"/>
      <c r="D282" s="207"/>
      <c r="E282" s="207"/>
      <c r="F282" s="207"/>
    </row>
    <row r="283" spans="1:6" ht="23.25" x14ac:dyDescent="0.35">
      <c r="A283" s="51"/>
      <c r="B283" s="207"/>
      <c r="C283" s="207"/>
      <c r="D283" s="207"/>
      <c r="E283" s="207"/>
      <c r="F283" s="207"/>
    </row>
    <row r="284" spans="1:6" ht="23.25" x14ac:dyDescent="0.35">
      <c r="A284" s="51"/>
      <c r="B284" s="207"/>
      <c r="C284" s="207"/>
      <c r="D284" s="207"/>
      <c r="E284" s="207"/>
      <c r="F284" s="207"/>
    </row>
    <row r="285" spans="1:6" ht="23.25" x14ac:dyDescent="0.35">
      <c r="A285" s="51"/>
      <c r="B285" s="207"/>
      <c r="C285" s="207"/>
      <c r="D285" s="207"/>
      <c r="E285" s="207"/>
      <c r="F285" s="207"/>
    </row>
    <row r="286" spans="1:6" ht="23.25" x14ac:dyDescent="0.35">
      <c r="A286" s="51"/>
      <c r="B286" s="207"/>
      <c r="C286" s="207"/>
      <c r="D286" s="207"/>
      <c r="E286" s="207"/>
      <c r="F286" s="207"/>
    </row>
    <row r="287" spans="1:6" ht="23.25" x14ac:dyDescent="0.35">
      <c r="A287" s="51"/>
      <c r="B287" s="207"/>
      <c r="C287" s="207"/>
      <c r="D287" s="207"/>
      <c r="E287" s="207"/>
      <c r="F287" s="207"/>
    </row>
    <row r="288" spans="1:6" ht="23.25" x14ac:dyDescent="0.35">
      <c r="A288" s="45"/>
      <c r="B288" s="207"/>
      <c r="C288" s="207"/>
      <c r="D288" s="207"/>
      <c r="E288" s="207"/>
      <c r="F288" s="207"/>
    </row>
    <row r="289" spans="1:6" ht="102.95" customHeight="1" x14ac:dyDescent="0.35">
      <c r="A289" s="51"/>
      <c r="B289" s="207"/>
      <c r="C289" s="207"/>
      <c r="D289" s="207"/>
      <c r="E289" s="207"/>
      <c r="F289" s="207"/>
    </row>
    <row r="290" spans="1:6" ht="23.25" x14ac:dyDescent="0.35">
      <c r="A290" s="46" t="s">
        <v>104</v>
      </c>
      <c r="B290" s="207"/>
      <c r="C290" s="207"/>
      <c r="D290" s="207"/>
      <c r="E290" s="207"/>
      <c r="F290" s="207"/>
    </row>
    <row r="291" spans="1:6" ht="23.25" x14ac:dyDescent="0.35">
      <c r="A291" s="45" t="s">
        <v>105</v>
      </c>
      <c r="B291" s="207"/>
      <c r="C291" s="207"/>
      <c r="D291" s="207"/>
      <c r="E291" s="207"/>
      <c r="F291" s="207"/>
    </row>
    <row r="292" spans="1:6" ht="23.25" x14ac:dyDescent="0.35">
      <c r="A292" s="45" t="s">
        <v>106</v>
      </c>
      <c r="B292" s="207"/>
      <c r="C292" s="207"/>
      <c r="D292" s="207"/>
      <c r="E292" s="207"/>
      <c r="F292" s="207"/>
    </row>
    <row r="293" spans="1:6" ht="23.25" x14ac:dyDescent="0.35">
      <c r="A293" s="50" t="s">
        <v>373</v>
      </c>
      <c r="B293" s="207"/>
      <c r="C293" s="207"/>
      <c r="D293" s="207"/>
      <c r="E293" s="207"/>
      <c r="F293" s="207"/>
    </row>
    <row r="294" spans="1:6" ht="23.25" x14ac:dyDescent="0.35">
      <c r="A294" s="50" t="s">
        <v>374</v>
      </c>
      <c r="B294" s="207"/>
      <c r="C294" s="207"/>
      <c r="D294" s="207"/>
      <c r="E294" s="207"/>
      <c r="F294" s="207"/>
    </row>
    <row r="295" spans="1:6" ht="23.25" x14ac:dyDescent="0.35">
      <c r="A295" s="50" t="s">
        <v>375</v>
      </c>
      <c r="B295" s="207"/>
      <c r="C295" s="207"/>
      <c r="D295" s="207"/>
      <c r="E295" s="207"/>
      <c r="F295" s="207"/>
    </row>
    <row r="296" spans="1:6" ht="23.25" x14ac:dyDescent="0.35">
      <c r="A296" s="45"/>
      <c r="B296" s="207"/>
      <c r="C296" s="207"/>
      <c r="D296" s="207"/>
      <c r="E296" s="207"/>
      <c r="F296" s="207"/>
    </row>
    <row r="297" spans="1:6" ht="23.25" x14ac:dyDescent="0.35">
      <c r="A297" s="44"/>
      <c r="B297" s="207"/>
      <c r="C297" s="207"/>
      <c r="D297" s="207"/>
      <c r="E297" s="207"/>
      <c r="F297" s="207"/>
    </row>
    <row r="298" spans="1:6" ht="23.25" x14ac:dyDescent="0.35">
      <c r="A298" s="46" t="s">
        <v>107</v>
      </c>
      <c r="B298" s="207"/>
      <c r="C298" s="207"/>
      <c r="D298" s="207"/>
      <c r="E298" s="207"/>
      <c r="F298" s="207"/>
    </row>
    <row r="299" spans="1:6" ht="23.25" x14ac:dyDescent="0.35">
      <c r="A299" s="44"/>
      <c r="B299" s="207"/>
      <c r="C299" s="207"/>
      <c r="D299" s="207"/>
      <c r="E299" s="207"/>
      <c r="F299" s="207"/>
    </row>
    <row r="300" spans="1:6" ht="23.25" x14ac:dyDescent="0.35">
      <c r="A300" s="44" t="s">
        <v>108</v>
      </c>
      <c r="B300" s="207"/>
      <c r="C300" s="207"/>
      <c r="D300" s="207"/>
      <c r="E300" s="207"/>
      <c r="F300" s="207"/>
    </row>
    <row r="301" spans="1:6" ht="23.25" x14ac:dyDescent="0.35">
      <c r="A301" s="44"/>
      <c r="B301" s="207"/>
      <c r="C301" s="207"/>
      <c r="D301" s="207"/>
      <c r="E301" s="207"/>
      <c r="F301" s="207"/>
    </row>
    <row r="302" spans="1:6" ht="23.25" x14ac:dyDescent="0.35">
      <c r="A302" s="44" t="s">
        <v>109</v>
      </c>
      <c r="B302" s="207"/>
      <c r="C302" s="207"/>
      <c r="D302" s="207"/>
      <c r="E302" s="207"/>
      <c r="F302" s="207"/>
    </row>
    <row r="303" spans="1:6" ht="23.25" x14ac:dyDescent="0.35">
      <c r="A303" s="45" t="s">
        <v>110</v>
      </c>
      <c r="B303" s="207"/>
      <c r="C303" s="207"/>
      <c r="D303" s="207"/>
      <c r="E303" s="207"/>
      <c r="F303" s="207"/>
    </row>
    <row r="304" spans="1:6" ht="23.25" x14ac:dyDescent="0.35">
      <c r="A304" s="45" t="s">
        <v>111</v>
      </c>
      <c r="B304" s="207"/>
      <c r="C304" s="207"/>
      <c r="D304" s="207"/>
      <c r="E304" s="207"/>
      <c r="F304" s="207"/>
    </row>
    <row r="305" spans="1:6" ht="23.25" x14ac:dyDescent="0.35">
      <c r="A305" s="45" t="s">
        <v>112</v>
      </c>
      <c r="B305" s="207"/>
      <c r="C305" s="207"/>
      <c r="D305" s="207"/>
      <c r="E305" s="207"/>
      <c r="F305" s="207"/>
    </row>
    <row r="306" spans="1:6" ht="23.25" x14ac:dyDescent="0.35">
      <c r="A306" s="51"/>
      <c r="B306" s="207"/>
      <c r="C306" s="207"/>
      <c r="D306" s="207"/>
      <c r="E306" s="207"/>
      <c r="F306" s="207"/>
    </row>
    <row r="307" spans="1:6" ht="23.25" x14ac:dyDescent="0.35">
      <c r="A307" s="45"/>
      <c r="B307" s="207"/>
      <c r="C307" s="207"/>
      <c r="D307" s="207"/>
      <c r="E307" s="207"/>
      <c r="F307" s="207"/>
    </row>
    <row r="308" spans="1:6" ht="23.25" x14ac:dyDescent="0.35">
      <c r="A308" s="51"/>
      <c r="B308" s="207"/>
      <c r="C308" s="207"/>
      <c r="D308" s="207"/>
      <c r="E308" s="207"/>
      <c r="F308" s="207"/>
    </row>
    <row r="309" spans="1:6" ht="23.25" x14ac:dyDescent="0.35">
      <c r="A309" s="51"/>
      <c r="B309" s="207"/>
      <c r="C309" s="207"/>
      <c r="D309" s="207"/>
      <c r="E309" s="207"/>
      <c r="F309" s="207"/>
    </row>
    <row r="310" spans="1:6" ht="23.25" x14ac:dyDescent="0.35">
      <c r="A310" s="51"/>
      <c r="B310" s="207"/>
      <c r="C310" s="207"/>
      <c r="D310" s="207"/>
      <c r="E310" s="207"/>
      <c r="F310" s="207"/>
    </row>
    <row r="311" spans="1:6" ht="23.25" x14ac:dyDescent="0.35">
      <c r="A311" s="51"/>
      <c r="B311" s="207"/>
      <c r="C311" s="207"/>
      <c r="D311" s="207"/>
      <c r="E311" s="207"/>
      <c r="F311" s="207"/>
    </row>
    <row r="312" spans="1:6" ht="6" customHeight="1" x14ac:dyDescent="0.35">
      <c r="A312" s="44"/>
      <c r="B312" s="207"/>
      <c r="C312" s="207"/>
      <c r="D312" s="207"/>
      <c r="E312" s="207"/>
      <c r="F312" s="207"/>
    </row>
    <row r="313" spans="1:6" ht="23.25" x14ac:dyDescent="0.35">
      <c r="A313" s="46" t="s">
        <v>113</v>
      </c>
      <c r="B313" s="207"/>
      <c r="C313" s="207"/>
      <c r="D313" s="207"/>
      <c r="E313" s="207"/>
      <c r="F313" s="207"/>
    </row>
    <row r="314" spans="1:6" ht="23.25" x14ac:dyDescent="0.35">
      <c r="A314" s="221" t="s">
        <v>114</v>
      </c>
      <c r="B314" s="207"/>
      <c r="C314" s="207"/>
      <c r="D314" s="207"/>
      <c r="E314" s="207"/>
      <c r="F314" s="207"/>
    </row>
    <row r="315" spans="1:6" ht="23.25" x14ac:dyDescent="0.35">
      <c r="A315" s="51"/>
      <c r="B315" s="207"/>
      <c r="C315" s="207"/>
      <c r="D315" s="207"/>
      <c r="E315" s="207"/>
      <c r="F315" s="207"/>
    </row>
    <row r="316" spans="1:6" ht="23.25" x14ac:dyDescent="0.35">
      <c r="A316" s="44" t="s">
        <v>115</v>
      </c>
      <c r="B316" s="207"/>
      <c r="C316" s="207"/>
      <c r="D316" s="207"/>
      <c r="E316" s="207"/>
      <c r="F316" s="207"/>
    </row>
    <row r="317" spans="1:6" ht="23.25" x14ac:dyDescent="0.35">
      <c r="A317" s="45" t="s">
        <v>116</v>
      </c>
      <c r="B317" s="207"/>
      <c r="C317" s="207"/>
      <c r="D317" s="207"/>
      <c r="E317" s="207"/>
      <c r="F317" s="207"/>
    </row>
    <row r="318" spans="1:6" ht="9.9499999999999993" customHeight="1" x14ac:dyDescent="0.35">
      <c r="A318" s="45"/>
      <c r="B318" s="207"/>
      <c r="C318" s="207"/>
      <c r="D318" s="207"/>
      <c r="E318" s="207"/>
      <c r="F318" s="207"/>
    </row>
    <row r="319" spans="1:6" ht="23.25" x14ac:dyDescent="0.35">
      <c r="A319" s="44" t="s">
        <v>117</v>
      </c>
      <c r="B319" s="207"/>
      <c r="C319" s="207"/>
      <c r="D319" s="207"/>
      <c r="E319" s="207"/>
      <c r="F319" s="207"/>
    </row>
    <row r="320" spans="1:6" ht="23.25" x14ac:dyDescent="0.35">
      <c r="A320" s="45" t="s">
        <v>118</v>
      </c>
      <c r="B320" s="207"/>
      <c r="C320" s="207"/>
      <c r="D320" s="207"/>
      <c r="E320" s="207"/>
      <c r="F320" s="207"/>
    </row>
    <row r="321" spans="1:6" ht="9" customHeight="1" x14ac:dyDescent="0.35">
      <c r="A321" s="45"/>
      <c r="B321" s="207"/>
      <c r="C321" s="207"/>
      <c r="D321" s="207"/>
      <c r="E321" s="207"/>
      <c r="F321" s="207"/>
    </row>
    <row r="322" spans="1:6" ht="23.25" x14ac:dyDescent="0.35">
      <c r="A322" s="44" t="s">
        <v>119</v>
      </c>
      <c r="B322" s="207"/>
      <c r="C322" s="207"/>
      <c r="D322" s="207"/>
      <c r="E322" s="207"/>
      <c r="F322" s="207"/>
    </row>
    <row r="323" spans="1:6" ht="23.25" x14ac:dyDescent="0.35">
      <c r="A323" s="45" t="s">
        <v>120</v>
      </c>
      <c r="B323" s="207"/>
      <c r="C323" s="207"/>
      <c r="D323" s="207"/>
      <c r="E323" s="207"/>
      <c r="F323" s="207"/>
    </row>
    <row r="324" spans="1:6" ht="6.95" customHeight="1" x14ac:dyDescent="0.35">
      <c r="A324" s="45"/>
      <c r="B324" s="207"/>
      <c r="C324" s="207"/>
      <c r="D324" s="207"/>
      <c r="E324" s="207"/>
      <c r="F324" s="207"/>
    </row>
    <row r="325" spans="1:6" ht="23.25" x14ac:dyDescent="0.35">
      <c r="A325" s="44" t="s">
        <v>121</v>
      </c>
      <c r="B325" s="207"/>
      <c r="C325" s="207"/>
      <c r="D325" s="207"/>
      <c r="E325" s="207"/>
      <c r="F325" s="207"/>
    </row>
    <row r="326" spans="1:6" ht="23.25" x14ac:dyDescent="0.35">
      <c r="A326" s="45" t="s">
        <v>122</v>
      </c>
      <c r="B326" s="207"/>
      <c r="C326" s="207"/>
      <c r="D326" s="207"/>
      <c r="E326" s="207"/>
      <c r="F326" s="207"/>
    </row>
    <row r="327" spans="1:6" ht="6.95" customHeight="1" x14ac:dyDescent="0.35">
      <c r="A327" s="45"/>
      <c r="B327" s="207"/>
      <c r="C327" s="207"/>
      <c r="D327" s="207"/>
      <c r="E327" s="207"/>
      <c r="F327" s="207"/>
    </row>
    <row r="328" spans="1:6" ht="23.25" x14ac:dyDescent="0.35">
      <c r="A328" s="44" t="s">
        <v>123</v>
      </c>
      <c r="B328" s="207"/>
      <c r="C328" s="207"/>
      <c r="D328" s="207"/>
      <c r="E328" s="207"/>
      <c r="F328" s="207"/>
    </row>
    <row r="329" spans="1:6" ht="24.95" customHeight="1" x14ac:dyDescent="0.35">
      <c r="A329" s="45" t="s">
        <v>124</v>
      </c>
      <c r="B329" s="207"/>
      <c r="C329" s="207"/>
      <c r="D329" s="207"/>
      <c r="E329" s="207"/>
      <c r="F329" s="207"/>
    </row>
    <row r="330" spans="1:6" ht="6.95" customHeight="1" x14ac:dyDescent="0.35">
      <c r="A330" s="44"/>
      <c r="B330" s="207"/>
      <c r="C330" s="207"/>
      <c r="D330" s="207"/>
      <c r="E330" s="207"/>
      <c r="F330" s="207"/>
    </row>
    <row r="331" spans="1:6" ht="23.25" x14ac:dyDescent="0.35">
      <c r="A331" s="44" t="s">
        <v>125</v>
      </c>
      <c r="B331" s="207"/>
      <c r="C331" s="207"/>
      <c r="D331" s="207"/>
      <c r="E331" s="207"/>
      <c r="F331" s="207"/>
    </row>
    <row r="332" spans="1:6" ht="23.25" x14ac:dyDescent="0.35">
      <c r="A332" s="45" t="s">
        <v>126</v>
      </c>
      <c r="B332" s="207"/>
      <c r="C332" s="207"/>
      <c r="D332" s="207"/>
      <c r="E332" s="207"/>
      <c r="F332" s="207"/>
    </row>
    <row r="333" spans="1:6" ht="9" customHeight="1" x14ac:dyDescent="0.35">
      <c r="A333" s="45"/>
      <c r="B333" s="207"/>
      <c r="C333" s="207"/>
      <c r="D333" s="207"/>
      <c r="E333" s="207"/>
      <c r="F333" s="207"/>
    </row>
    <row r="334" spans="1:6" ht="9" hidden="1" customHeight="1" x14ac:dyDescent="0.35">
      <c r="A334" s="45"/>
      <c r="B334" s="207"/>
      <c r="C334" s="207"/>
      <c r="D334" s="207"/>
      <c r="E334" s="207"/>
      <c r="F334" s="207"/>
    </row>
    <row r="335" spans="1:6" ht="23.25" x14ac:dyDescent="0.35">
      <c r="A335" s="44" t="s">
        <v>127</v>
      </c>
      <c r="B335" s="207"/>
      <c r="C335" s="207"/>
      <c r="D335" s="207"/>
      <c r="E335" s="207"/>
      <c r="F335" s="207"/>
    </row>
    <row r="336" spans="1:6" ht="23.25" x14ac:dyDescent="0.35">
      <c r="A336" s="45" t="s">
        <v>124</v>
      </c>
      <c r="B336" s="207"/>
      <c r="C336" s="207"/>
      <c r="D336" s="207"/>
      <c r="E336" s="207"/>
      <c r="F336" s="207"/>
    </row>
    <row r="337" spans="1:6" ht="9" customHeight="1" x14ac:dyDescent="0.35">
      <c r="A337" s="45"/>
      <c r="B337" s="207"/>
      <c r="C337" s="207"/>
      <c r="D337" s="207"/>
      <c r="E337" s="207"/>
      <c r="F337" s="207"/>
    </row>
    <row r="338" spans="1:6" ht="23.25" x14ac:dyDescent="0.35">
      <c r="A338" s="44" t="s">
        <v>128</v>
      </c>
      <c r="B338" s="207"/>
      <c r="C338" s="207"/>
      <c r="D338" s="207"/>
      <c r="E338" s="207"/>
      <c r="F338" s="207"/>
    </row>
    <row r="339" spans="1:6" ht="23.25" x14ac:dyDescent="0.35">
      <c r="A339" s="45" t="s">
        <v>129</v>
      </c>
      <c r="B339" s="207"/>
      <c r="C339" s="207"/>
      <c r="D339" s="207"/>
      <c r="E339" s="207"/>
      <c r="F339" s="207"/>
    </row>
    <row r="340" spans="1:6" ht="6" customHeight="1" x14ac:dyDescent="0.35">
      <c r="A340" s="45"/>
      <c r="B340" s="207"/>
      <c r="C340" s="207"/>
      <c r="D340" s="207"/>
      <c r="E340" s="207"/>
      <c r="F340" s="207"/>
    </row>
    <row r="341" spans="1:6" ht="23.25" x14ac:dyDescent="0.35">
      <c r="A341" s="44" t="s">
        <v>130</v>
      </c>
      <c r="B341" s="207"/>
      <c r="C341" s="207"/>
      <c r="D341" s="207"/>
      <c r="E341" s="207"/>
      <c r="F341" s="207"/>
    </row>
    <row r="342" spans="1:6" ht="17.100000000000001" customHeight="1" x14ac:dyDescent="0.35">
      <c r="A342" s="45" t="s">
        <v>131</v>
      </c>
      <c r="B342" s="207"/>
      <c r="C342" s="207"/>
      <c r="D342" s="207"/>
      <c r="E342" s="207"/>
      <c r="F342" s="207"/>
    </row>
    <row r="343" spans="1:6" ht="8.1" customHeight="1" x14ac:dyDescent="0.35">
      <c r="A343" s="45"/>
      <c r="B343" s="207"/>
      <c r="C343" s="207"/>
      <c r="D343" s="207"/>
      <c r="E343" s="207"/>
      <c r="F343" s="207"/>
    </row>
    <row r="344" spans="1:6" ht="12.95" customHeight="1" x14ac:dyDescent="0.35">
      <c r="A344" s="44" t="s">
        <v>132</v>
      </c>
      <c r="B344" s="207"/>
      <c r="C344" s="207"/>
      <c r="D344" s="207"/>
      <c r="E344" s="207"/>
      <c r="F344" s="207"/>
    </row>
    <row r="345" spans="1:6" ht="23.25" x14ac:dyDescent="0.35">
      <c r="A345" s="45" t="s">
        <v>133</v>
      </c>
      <c r="B345" s="207"/>
      <c r="C345" s="207"/>
      <c r="D345" s="207"/>
      <c r="E345" s="207"/>
      <c r="F345" s="207"/>
    </row>
    <row r="346" spans="1:6" ht="8.1" customHeight="1" x14ac:dyDescent="0.35">
      <c r="A346" s="45"/>
      <c r="B346" s="207"/>
      <c r="C346" s="207"/>
      <c r="D346" s="207"/>
      <c r="E346" s="207"/>
      <c r="F346" s="207"/>
    </row>
    <row r="347" spans="1:6" ht="17.100000000000001" customHeight="1" x14ac:dyDescent="0.35">
      <c r="A347" s="44" t="s">
        <v>134</v>
      </c>
      <c r="B347" s="207"/>
      <c r="C347" s="207"/>
      <c r="D347" s="207"/>
      <c r="E347" s="207"/>
      <c r="F347" s="207"/>
    </row>
    <row r="348" spans="1:6" ht="23.25" x14ac:dyDescent="0.35">
      <c r="A348" s="45" t="s">
        <v>135</v>
      </c>
      <c r="B348" s="207"/>
      <c r="C348" s="207"/>
      <c r="D348" s="207"/>
      <c r="E348" s="207"/>
      <c r="F348" s="207"/>
    </row>
    <row r="349" spans="1:6" ht="20.100000000000001" customHeight="1" x14ac:dyDescent="0.35">
      <c r="A349" s="45"/>
      <c r="B349" s="207"/>
      <c r="C349" s="207"/>
      <c r="D349" s="207"/>
      <c r="E349" s="207"/>
      <c r="F349" s="207"/>
    </row>
    <row r="350" spans="1:6" ht="23.25" x14ac:dyDescent="0.35">
      <c r="A350" s="44" t="s">
        <v>136</v>
      </c>
      <c r="B350" s="207"/>
      <c r="C350" s="207"/>
      <c r="D350" s="207"/>
      <c r="E350" s="207"/>
      <c r="F350" s="207"/>
    </row>
    <row r="351" spans="1:6" ht="27.95" customHeight="1" x14ac:dyDescent="0.35">
      <c r="A351" s="45" t="s">
        <v>131</v>
      </c>
      <c r="B351" s="207"/>
      <c r="C351" s="207"/>
      <c r="D351" s="207"/>
      <c r="E351" s="207"/>
      <c r="F351" s="207"/>
    </row>
    <row r="352" spans="1:6" ht="6" customHeight="1" x14ac:dyDescent="0.35">
      <c r="A352" s="45"/>
      <c r="B352" s="207"/>
      <c r="C352" s="207"/>
      <c r="D352" s="207"/>
      <c r="E352" s="207"/>
      <c r="F352" s="207"/>
    </row>
    <row r="353" spans="1:6" ht="21" customHeight="1" x14ac:dyDescent="0.35">
      <c r="A353" s="44" t="s">
        <v>137</v>
      </c>
      <c r="B353" s="207"/>
      <c r="C353" s="207"/>
      <c r="D353" s="207"/>
      <c r="E353" s="207"/>
      <c r="F353" s="207"/>
    </row>
    <row r="354" spans="1:6" ht="23.25" x14ac:dyDescent="0.35">
      <c r="A354" s="45" t="s">
        <v>138</v>
      </c>
      <c r="B354" s="207"/>
      <c r="C354" s="207"/>
      <c r="D354" s="207"/>
      <c r="E354" s="207"/>
      <c r="F354" s="207"/>
    </row>
    <row r="355" spans="1:6" ht="23.25" x14ac:dyDescent="0.35">
      <c r="A355" s="45"/>
      <c r="B355" s="207"/>
      <c r="C355" s="207"/>
      <c r="D355" s="207"/>
      <c r="E355" s="207"/>
      <c r="F355" s="207"/>
    </row>
    <row r="356" spans="1:6" ht="11.1" customHeight="1" x14ac:dyDescent="0.35">
      <c r="A356" s="45"/>
      <c r="B356" s="207"/>
      <c r="C356" s="207"/>
      <c r="D356" s="207"/>
      <c r="E356" s="207"/>
      <c r="F356" s="207"/>
    </row>
    <row r="357" spans="1:6" ht="23.25" hidden="1" x14ac:dyDescent="0.35">
      <c r="A357" s="45"/>
      <c r="B357" s="207"/>
      <c r="C357" s="207"/>
      <c r="D357" s="207"/>
      <c r="E357" s="207"/>
      <c r="F357" s="207"/>
    </row>
    <row r="358" spans="1:6" ht="23.25" hidden="1" x14ac:dyDescent="0.35">
      <c r="A358" s="45"/>
      <c r="B358" s="207"/>
      <c r="C358" s="207"/>
      <c r="D358" s="207"/>
      <c r="E358" s="207"/>
      <c r="F358" s="207"/>
    </row>
    <row r="359" spans="1:6" ht="23.25" hidden="1" x14ac:dyDescent="0.35">
      <c r="A359" s="45"/>
      <c r="B359" s="207"/>
      <c r="C359" s="207"/>
      <c r="D359" s="207"/>
      <c r="E359" s="207"/>
      <c r="F359" s="207"/>
    </row>
    <row r="360" spans="1:6" ht="23.25" hidden="1" x14ac:dyDescent="0.35">
      <c r="A360" s="45"/>
      <c r="B360" s="207"/>
      <c r="C360" s="207"/>
      <c r="D360" s="207"/>
      <c r="E360" s="207"/>
      <c r="F360" s="207"/>
    </row>
    <row r="361" spans="1:6" ht="3" hidden="1" customHeight="1" x14ac:dyDescent="0.35">
      <c r="A361" s="45"/>
      <c r="B361" s="207"/>
      <c r="C361" s="207"/>
      <c r="D361" s="207"/>
      <c r="E361" s="207"/>
      <c r="F361" s="207"/>
    </row>
    <row r="362" spans="1:6" ht="23.25" hidden="1" x14ac:dyDescent="0.35">
      <c r="A362" s="51"/>
      <c r="B362" s="207"/>
      <c r="C362" s="207"/>
      <c r="D362" s="207"/>
      <c r="E362" s="207"/>
      <c r="F362" s="207"/>
    </row>
    <row r="363" spans="1:6" ht="23.25" hidden="1" x14ac:dyDescent="0.35">
      <c r="A363" s="51"/>
      <c r="B363" s="207"/>
      <c r="C363" s="207"/>
      <c r="D363" s="207"/>
      <c r="E363" s="207"/>
      <c r="F363" s="207"/>
    </row>
    <row r="364" spans="1:6" ht="23.25" hidden="1" x14ac:dyDescent="0.35">
      <c r="A364" s="51"/>
      <c r="B364" s="207"/>
      <c r="C364" s="207"/>
      <c r="D364" s="207"/>
      <c r="E364" s="207"/>
      <c r="F364" s="207"/>
    </row>
    <row r="365" spans="1:6" ht="23.25" hidden="1" x14ac:dyDescent="0.35">
      <c r="A365" s="51"/>
      <c r="B365" s="207"/>
      <c r="C365" s="207"/>
      <c r="D365" s="207"/>
      <c r="E365" s="207"/>
      <c r="F365" s="207"/>
    </row>
    <row r="366" spans="1:6" ht="23.25" hidden="1" x14ac:dyDescent="0.35">
      <c r="A366" s="51"/>
      <c r="B366" s="207"/>
      <c r="C366" s="207"/>
      <c r="D366" s="207"/>
      <c r="E366" s="207"/>
      <c r="F366" s="207"/>
    </row>
    <row r="367" spans="1:6" ht="23.25" hidden="1" x14ac:dyDescent="0.35">
      <c r="A367" s="51"/>
      <c r="B367" s="207"/>
      <c r="C367" s="207"/>
      <c r="D367" s="207"/>
      <c r="E367" s="207"/>
      <c r="F367" s="207"/>
    </row>
    <row r="368" spans="1:6" ht="23.25" hidden="1" x14ac:dyDescent="0.35">
      <c r="A368" s="51"/>
      <c r="B368" s="207"/>
      <c r="C368" s="207"/>
      <c r="D368" s="207"/>
      <c r="E368" s="207"/>
      <c r="F368" s="207"/>
    </row>
    <row r="369" spans="1:6" ht="23.25" hidden="1" x14ac:dyDescent="0.35">
      <c r="A369" s="51"/>
      <c r="B369" s="207"/>
      <c r="C369" s="207"/>
      <c r="D369" s="207"/>
      <c r="E369" s="207"/>
      <c r="F369" s="207"/>
    </row>
    <row r="370" spans="1:6" ht="23.25" hidden="1" x14ac:dyDescent="0.35">
      <c r="A370" s="51"/>
      <c r="B370" s="207"/>
      <c r="C370" s="207"/>
      <c r="D370" s="207"/>
      <c r="E370" s="207"/>
      <c r="F370" s="207"/>
    </row>
    <row r="371" spans="1:6" ht="23.25" hidden="1" x14ac:dyDescent="0.35">
      <c r="A371" s="51"/>
      <c r="B371" s="207"/>
      <c r="C371" s="207"/>
      <c r="D371" s="207"/>
      <c r="E371" s="207"/>
      <c r="F371" s="207"/>
    </row>
    <row r="372" spans="1:6" ht="23.25" hidden="1" x14ac:dyDescent="0.35">
      <c r="A372" s="51"/>
      <c r="B372" s="207"/>
      <c r="C372" s="207"/>
      <c r="D372" s="207"/>
      <c r="E372" s="207"/>
      <c r="F372" s="207"/>
    </row>
    <row r="373" spans="1:6" ht="23.25" hidden="1" x14ac:dyDescent="0.35">
      <c r="A373" s="51"/>
      <c r="B373" s="207"/>
      <c r="C373" s="207"/>
      <c r="D373" s="207"/>
      <c r="E373" s="207"/>
      <c r="F373" s="207"/>
    </row>
    <row r="374" spans="1:6" ht="23.25" x14ac:dyDescent="0.35">
      <c r="A374" s="46" t="s">
        <v>139</v>
      </c>
      <c r="B374" s="207"/>
      <c r="C374" s="207"/>
      <c r="D374" s="207"/>
      <c r="E374" s="207"/>
      <c r="F374" s="207"/>
    </row>
    <row r="375" spans="1:6" ht="23.25" x14ac:dyDescent="0.35">
      <c r="A375" s="46" t="s">
        <v>140</v>
      </c>
      <c r="B375" s="207"/>
      <c r="C375" s="207"/>
      <c r="D375" s="207"/>
      <c r="E375" s="207"/>
      <c r="F375" s="207"/>
    </row>
    <row r="376" spans="1:6" ht="23.25" x14ac:dyDescent="0.35">
      <c r="A376" s="45"/>
      <c r="B376" s="207"/>
      <c r="C376" s="207"/>
      <c r="D376" s="207"/>
      <c r="E376" s="207"/>
      <c r="F376" s="207"/>
    </row>
    <row r="377" spans="1:6" ht="23.25" x14ac:dyDescent="0.35">
      <c r="A377" s="44" t="s">
        <v>141</v>
      </c>
      <c r="B377" s="207"/>
      <c r="C377" s="207"/>
      <c r="D377" s="207"/>
      <c r="E377" s="207"/>
      <c r="F377" s="207"/>
    </row>
    <row r="378" spans="1:6" ht="23.25" x14ac:dyDescent="0.35">
      <c r="A378" s="45" t="s">
        <v>142</v>
      </c>
      <c r="B378" s="207"/>
      <c r="C378" s="207"/>
      <c r="D378" s="207"/>
      <c r="E378" s="207"/>
      <c r="F378" s="207"/>
    </row>
    <row r="379" spans="1:6" ht="23.25" x14ac:dyDescent="0.35">
      <c r="A379" s="45" t="s">
        <v>143</v>
      </c>
      <c r="B379" s="207"/>
      <c r="C379" s="207"/>
      <c r="D379" s="207"/>
      <c r="E379" s="207"/>
      <c r="F379" s="207"/>
    </row>
    <row r="380" spans="1:6" ht="23.25" x14ac:dyDescent="0.35">
      <c r="A380" s="45"/>
      <c r="B380" s="207"/>
      <c r="C380" s="207"/>
      <c r="D380" s="207"/>
      <c r="E380" s="207"/>
      <c r="F380" s="207"/>
    </row>
    <row r="381" spans="1:6" ht="23.25" x14ac:dyDescent="0.35">
      <c r="A381" s="44" t="s">
        <v>144</v>
      </c>
      <c r="B381" s="207"/>
      <c r="C381" s="207"/>
      <c r="D381" s="207"/>
      <c r="E381" s="207"/>
      <c r="F381" s="207"/>
    </row>
    <row r="382" spans="1:6" ht="23.25" x14ac:dyDescent="0.35">
      <c r="A382" s="45" t="s">
        <v>145</v>
      </c>
      <c r="B382" s="207"/>
      <c r="C382" s="207"/>
      <c r="D382" s="207"/>
      <c r="E382" s="207"/>
      <c r="F382" s="207"/>
    </row>
    <row r="383" spans="1:6" ht="23.25" x14ac:dyDescent="0.35">
      <c r="A383" s="45" t="s">
        <v>146</v>
      </c>
      <c r="B383" s="207"/>
      <c r="C383" s="207"/>
      <c r="D383" s="207"/>
      <c r="E383" s="207"/>
      <c r="F383" s="207"/>
    </row>
    <row r="384" spans="1:6" ht="23.25" x14ac:dyDescent="0.35">
      <c r="A384" s="45"/>
      <c r="B384" s="207"/>
      <c r="C384" s="207"/>
      <c r="D384" s="207"/>
      <c r="E384" s="207"/>
      <c r="F384" s="207"/>
    </row>
    <row r="385" spans="1:6" ht="23.25" x14ac:dyDescent="0.35">
      <c r="A385" s="44" t="s">
        <v>147</v>
      </c>
      <c r="B385" s="207"/>
      <c r="C385" s="207"/>
      <c r="D385" s="207"/>
      <c r="E385" s="207"/>
      <c r="F385" s="207"/>
    </row>
    <row r="386" spans="1:6" ht="23.25" x14ac:dyDescent="0.35">
      <c r="A386" s="45" t="s">
        <v>148</v>
      </c>
      <c r="B386" s="207"/>
      <c r="C386" s="207"/>
      <c r="D386" s="207"/>
      <c r="E386" s="207"/>
      <c r="F386" s="207"/>
    </row>
    <row r="387" spans="1:6" ht="23.25" x14ac:dyDescent="0.35">
      <c r="A387" s="45" t="s">
        <v>149</v>
      </c>
      <c r="B387" s="207"/>
      <c r="C387" s="207"/>
      <c r="D387" s="207"/>
      <c r="E387" s="207"/>
      <c r="F387" s="207"/>
    </row>
    <row r="388" spans="1:6" ht="23.25" x14ac:dyDescent="0.35">
      <c r="A388" s="45"/>
      <c r="B388" s="207"/>
      <c r="C388" s="207"/>
      <c r="D388" s="207"/>
      <c r="E388" s="207"/>
      <c r="F388" s="207"/>
    </row>
    <row r="389" spans="1:6" ht="23.25" x14ac:dyDescent="0.35">
      <c r="A389" s="44" t="s">
        <v>150</v>
      </c>
      <c r="B389" s="207"/>
      <c r="C389" s="207"/>
      <c r="D389" s="207"/>
      <c r="E389" s="207"/>
      <c r="F389" s="207"/>
    </row>
    <row r="390" spans="1:6" ht="23.25" x14ac:dyDescent="0.35">
      <c r="A390" s="45" t="s">
        <v>151</v>
      </c>
      <c r="B390" s="207"/>
      <c r="C390" s="207"/>
      <c r="D390" s="207"/>
      <c r="E390" s="207"/>
      <c r="F390" s="207"/>
    </row>
    <row r="391" spans="1:6" ht="23.25" x14ac:dyDescent="0.35">
      <c r="A391" s="45" t="s">
        <v>152</v>
      </c>
      <c r="B391" s="207"/>
      <c r="C391" s="207"/>
      <c r="D391" s="207"/>
      <c r="E391" s="207"/>
      <c r="F391" s="207"/>
    </row>
    <row r="392" spans="1:6" ht="23.25" x14ac:dyDescent="0.35">
      <c r="A392" s="44"/>
      <c r="B392" s="207"/>
      <c r="C392" s="207"/>
      <c r="D392" s="207"/>
      <c r="E392" s="207"/>
      <c r="F392" s="207"/>
    </row>
    <row r="393" spans="1:6" ht="23.25" x14ac:dyDescent="0.35">
      <c r="A393" s="44" t="s">
        <v>153</v>
      </c>
      <c r="B393" s="207"/>
      <c r="C393" s="207"/>
      <c r="D393" s="207"/>
      <c r="E393" s="207"/>
      <c r="F393" s="207"/>
    </row>
    <row r="394" spans="1:6" ht="23.25" x14ac:dyDescent="0.35">
      <c r="A394" s="45" t="s">
        <v>154</v>
      </c>
      <c r="B394" s="207"/>
      <c r="C394" s="207"/>
      <c r="D394" s="207"/>
      <c r="E394" s="207"/>
      <c r="F394" s="207"/>
    </row>
    <row r="395" spans="1:6" ht="23.25" x14ac:dyDescent="0.35">
      <c r="A395" s="45" t="s">
        <v>155</v>
      </c>
      <c r="B395" s="207"/>
      <c r="C395" s="207"/>
      <c r="D395" s="207"/>
      <c r="E395" s="207"/>
      <c r="F395" s="207"/>
    </row>
    <row r="396" spans="1:6" ht="23.25" x14ac:dyDescent="0.35">
      <c r="A396" s="45"/>
      <c r="B396" s="207"/>
      <c r="C396" s="207"/>
      <c r="D396" s="207"/>
      <c r="E396" s="207"/>
      <c r="F396" s="207"/>
    </row>
    <row r="397" spans="1:6" ht="23.25" x14ac:dyDescent="0.35">
      <c r="A397" s="207"/>
      <c r="B397" s="207"/>
      <c r="C397" s="207"/>
      <c r="D397" s="207"/>
      <c r="E397" s="207"/>
      <c r="F397" s="207"/>
    </row>
    <row r="398" spans="1:6" ht="177.95" customHeight="1" x14ac:dyDescent="0.35">
      <c r="A398" s="207"/>
      <c r="B398" s="207"/>
      <c r="C398" s="207"/>
      <c r="D398" s="207"/>
      <c r="E398" s="207"/>
      <c r="F398" s="207"/>
    </row>
    <row r="399" spans="1:6" ht="26.25" x14ac:dyDescent="0.25">
      <c r="A399" s="345" t="s">
        <v>347</v>
      </c>
      <c r="B399" s="345"/>
      <c r="C399" s="345"/>
      <c r="D399" s="345"/>
      <c r="E399" s="345"/>
      <c r="F399" s="345"/>
    </row>
    <row r="400" spans="1:6" ht="23.25" x14ac:dyDescent="0.35">
      <c r="A400" s="207"/>
      <c r="B400" s="207"/>
      <c r="C400" s="207"/>
      <c r="D400" s="207"/>
      <c r="E400" s="207"/>
      <c r="F400" s="207"/>
    </row>
    <row r="401" spans="1:6" ht="23.25" x14ac:dyDescent="0.35">
      <c r="A401" s="207"/>
      <c r="B401" s="207"/>
      <c r="C401" s="207"/>
      <c r="D401" s="207"/>
      <c r="E401" s="207"/>
      <c r="F401" s="207"/>
    </row>
    <row r="402" spans="1:6" ht="23.25" x14ac:dyDescent="0.35">
      <c r="A402" s="346" t="s">
        <v>349</v>
      </c>
      <c r="B402" s="347"/>
      <c r="C402" s="347"/>
      <c r="D402" s="347"/>
      <c r="E402" s="347"/>
      <c r="F402" s="207"/>
    </row>
    <row r="403" spans="1:6" ht="23.25" x14ac:dyDescent="0.35">
      <c r="A403" s="205" t="s">
        <v>335</v>
      </c>
      <c r="B403" s="207"/>
      <c r="C403" s="207"/>
      <c r="D403" s="207"/>
      <c r="E403" s="207"/>
      <c r="F403" s="207"/>
    </row>
    <row r="404" spans="1:6" ht="23.25" x14ac:dyDescent="0.35">
      <c r="A404" s="207"/>
      <c r="B404" s="207"/>
      <c r="C404" s="207"/>
      <c r="D404" s="207"/>
      <c r="E404" s="207"/>
      <c r="F404" s="207"/>
    </row>
    <row r="405" spans="1:6" ht="23.25" x14ac:dyDescent="0.35">
      <c r="A405" s="208" t="s">
        <v>336</v>
      </c>
      <c r="B405" s="207"/>
      <c r="C405" s="207"/>
      <c r="D405" s="207"/>
      <c r="E405" s="207"/>
      <c r="F405" s="207"/>
    </row>
    <row r="406" spans="1:6" ht="23.25" x14ac:dyDescent="0.35">
      <c r="A406" s="208" t="s">
        <v>337</v>
      </c>
      <c r="B406" s="207"/>
      <c r="C406" s="207"/>
      <c r="D406" s="207"/>
      <c r="E406" s="207"/>
      <c r="F406" s="207"/>
    </row>
    <row r="407" spans="1:6" ht="23.25" x14ac:dyDescent="0.35">
      <c r="A407" s="208" t="s">
        <v>338</v>
      </c>
      <c r="B407" s="207"/>
      <c r="C407" s="207"/>
      <c r="D407" s="207"/>
      <c r="E407" s="207"/>
      <c r="F407" s="207"/>
    </row>
    <row r="408" spans="1:6" ht="23.25" x14ac:dyDescent="0.35">
      <c r="A408" s="208" t="s">
        <v>339</v>
      </c>
      <c r="B408" s="207"/>
      <c r="C408" s="207"/>
      <c r="D408" s="207"/>
      <c r="E408" s="207"/>
      <c r="F408" s="207"/>
    </row>
    <row r="409" spans="1:6" ht="23.25" x14ac:dyDescent="0.35">
      <c r="A409" s="207"/>
      <c r="B409" s="207"/>
      <c r="C409" s="207"/>
      <c r="D409" s="207"/>
      <c r="E409" s="207"/>
      <c r="F409" s="207"/>
    </row>
    <row r="410" spans="1:6" ht="23.25" x14ac:dyDescent="0.35">
      <c r="A410" s="209" t="s">
        <v>350</v>
      </c>
      <c r="B410" s="207"/>
      <c r="C410" s="207"/>
      <c r="D410" s="207"/>
      <c r="E410" s="207"/>
      <c r="F410" s="207"/>
    </row>
    <row r="411" spans="1:6" ht="23.25" x14ac:dyDescent="0.35">
      <c r="A411" s="206" t="s">
        <v>340</v>
      </c>
      <c r="B411" s="207"/>
      <c r="C411" s="207"/>
      <c r="D411" s="207"/>
      <c r="E411" s="207"/>
      <c r="F411" s="207"/>
    </row>
    <row r="412" spans="1:6" ht="23.25" x14ac:dyDescent="0.35">
      <c r="A412" s="207"/>
      <c r="B412" s="207"/>
      <c r="C412" s="207"/>
      <c r="D412" s="207"/>
      <c r="E412" s="207"/>
      <c r="F412" s="207"/>
    </row>
    <row r="413" spans="1:6" ht="23.25" x14ac:dyDescent="0.35">
      <c r="A413" s="208" t="s">
        <v>348</v>
      </c>
      <c r="B413" s="207"/>
      <c r="C413" s="207"/>
      <c r="D413" s="207"/>
      <c r="E413" s="207"/>
      <c r="F413" s="207"/>
    </row>
    <row r="414" spans="1:6" ht="23.25" x14ac:dyDescent="0.35">
      <c r="A414" s="207"/>
      <c r="B414" s="207"/>
      <c r="C414" s="207"/>
      <c r="D414" s="207"/>
      <c r="E414" s="207"/>
      <c r="F414" s="207"/>
    </row>
    <row r="415" spans="1:6" ht="23.25" x14ac:dyDescent="0.35">
      <c r="A415" s="206" t="s">
        <v>351</v>
      </c>
      <c r="B415" s="207"/>
      <c r="C415" s="207"/>
      <c r="D415" s="207"/>
      <c r="E415" s="207"/>
      <c r="F415" s="207"/>
    </row>
    <row r="416" spans="1:6" ht="23.25" x14ac:dyDescent="0.35">
      <c r="A416" s="206" t="s">
        <v>341</v>
      </c>
      <c r="B416" s="207"/>
      <c r="C416" s="207"/>
      <c r="D416" s="207"/>
      <c r="E416" s="207"/>
      <c r="F416" s="207"/>
    </row>
    <row r="417" spans="1:6" ht="23.25" x14ac:dyDescent="0.35">
      <c r="A417" s="207"/>
      <c r="B417" s="207"/>
      <c r="C417" s="207"/>
      <c r="D417" s="207"/>
      <c r="E417" s="207"/>
      <c r="F417" s="207"/>
    </row>
    <row r="418" spans="1:6" ht="23.25" x14ac:dyDescent="0.35">
      <c r="A418" s="208" t="s">
        <v>342</v>
      </c>
      <c r="B418" s="207"/>
      <c r="C418" s="207"/>
      <c r="D418" s="207"/>
      <c r="E418" s="207"/>
      <c r="F418" s="207"/>
    </row>
    <row r="419" spans="1:6" ht="23.25" x14ac:dyDescent="0.35">
      <c r="A419" s="208" t="s">
        <v>343</v>
      </c>
      <c r="B419" s="207"/>
      <c r="C419" s="207"/>
      <c r="D419" s="207"/>
      <c r="E419" s="207"/>
      <c r="F419" s="207"/>
    </row>
    <row r="420" spans="1:6" ht="23.25" x14ac:dyDescent="0.35">
      <c r="A420" s="208" t="s">
        <v>344</v>
      </c>
      <c r="B420" s="207"/>
      <c r="C420" s="207"/>
      <c r="D420" s="207"/>
      <c r="E420" s="207"/>
      <c r="F420" s="207"/>
    </row>
    <row r="421" spans="1:6" ht="23.25" x14ac:dyDescent="0.35">
      <c r="A421" s="210" t="s">
        <v>345</v>
      </c>
      <c r="B421" s="207"/>
      <c r="C421" s="207"/>
      <c r="D421" s="207"/>
      <c r="E421" s="207"/>
      <c r="F421" s="207"/>
    </row>
    <row r="422" spans="1:6" ht="23.25" x14ac:dyDescent="0.35">
      <c r="A422" s="210" t="s">
        <v>346</v>
      </c>
      <c r="B422" s="207"/>
      <c r="C422" s="207"/>
      <c r="D422" s="207"/>
      <c r="E422" s="207"/>
      <c r="F422" s="207"/>
    </row>
    <row r="423" spans="1:6" ht="23.25" x14ac:dyDescent="0.35">
      <c r="A423" s="207"/>
      <c r="B423" s="207"/>
      <c r="C423" s="207"/>
      <c r="D423" s="207"/>
      <c r="E423" s="207"/>
      <c r="F423" s="207"/>
    </row>
    <row r="424" spans="1:6" ht="23.25" x14ac:dyDescent="0.35">
      <c r="A424" s="207"/>
      <c r="B424" s="207"/>
      <c r="C424" s="207"/>
      <c r="D424" s="207"/>
      <c r="E424" s="207"/>
      <c r="F424" s="207"/>
    </row>
    <row r="425" spans="1:6" ht="23.25" x14ac:dyDescent="0.35">
      <c r="A425" s="207"/>
      <c r="B425" s="207"/>
      <c r="C425" s="207"/>
      <c r="D425" s="207"/>
      <c r="E425" s="207"/>
      <c r="F425" s="207"/>
    </row>
  </sheetData>
  <mergeCells count="2">
    <mergeCell ref="A399:F399"/>
    <mergeCell ref="A402:E402"/>
  </mergeCells>
  <pageMargins left="0.70000000000000007" right="0.70000000000000007" top="0.75" bottom="0.75" header="0.30000000000000004" footer="0.30000000000000004"/>
  <pageSetup paperSize="9" fitToWidth="0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81"/>
  <sheetViews>
    <sheetView showGridLines="0" zoomScaleNormal="100" workbookViewId="0">
      <pane ySplit="1" topLeftCell="A2" activePane="bottomLeft" state="frozen"/>
      <selection pane="bottomLeft" activeCell="F45" sqref="F45"/>
    </sheetView>
  </sheetViews>
  <sheetFormatPr baseColWidth="10" defaultColWidth="11.42578125" defaultRowHeight="15" x14ac:dyDescent="0.25"/>
  <cols>
    <col min="1" max="1" width="6.42578125" style="136" customWidth="1"/>
    <col min="2" max="2" width="8.28515625" style="136" customWidth="1"/>
    <col min="3" max="3" width="11.28515625" style="136" customWidth="1"/>
    <col min="4" max="9" width="11.42578125" style="136"/>
    <col min="10" max="10" width="20.42578125" style="136" customWidth="1"/>
    <col min="11" max="12" width="11.42578125" style="136"/>
    <col min="13" max="13" width="10.28515625" style="136" customWidth="1"/>
    <col min="14" max="16384" width="11.42578125" style="136"/>
  </cols>
  <sheetData>
    <row r="1" spans="1:17" ht="27" customHeight="1" x14ac:dyDescent="0.25">
      <c r="C1" s="348" t="s">
        <v>255</v>
      </c>
      <c r="D1" s="348"/>
      <c r="E1" s="348"/>
      <c r="F1" s="348"/>
      <c r="G1" s="348"/>
      <c r="H1" s="348"/>
      <c r="I1" s="348"/>
      <c r="J1" s="348"/>
      <c r="K1" s="348"/>
      <c r="L1" s="348"/>
    </row>
    <row r="2" spans="1:17" ht="11.1" customHeight="1" x14ac:dyDescent="0.25"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7" ht="18.75" x14ac:dyDescent="0.25">
      <c r="D3" s="349" t="s">
        <v>256</v>
      </c>
      <c r="E3" s="349"/>
      <c r="F3" s="349"/>
      <c r="G3" s="349"/>
      <c r="H3" s="349"/>
      <c r="I3" s="349"/>
      <c r="J3" s="349"/>
      <c r="K3" s="349"/>
      <c r="L3" s="138"/>
      <c r="M3" s="138"/>
      <c r="N3" s="138"/>
      <c r="O3" s="138"/>
      <c r="P3" s="138"/>
      <c r="Q3" s="138"/>
    </row>
    <row r="4" spans="1:17" ht="9.9499999999999993" customHeight="1" x14ac:dyDescent="0.25"/>
    <row r="5" spans="1:17" x14ac:dyDescent="0.25">
      <c r="A5" s="139" t="s">
        <v>257</v>
      </c>
      <c r="B5" s="139"/>
      <c r="C5" s="139"/>
      <c r="D5" s="140"/>
      <c r="E5" s="141"/>
      <c r="F5" s="141"/>
      <c r="G5" s="141"/>
      <c r="H5" s="141"/>
      <c r="I5" s="141"/>
      <c r="J5" s="141"/>
      <c r="K5" s="141"/>
      <c r="L5" s="141"/>
      <c r="M5" s="141"/>
    </row>
    <row r="6" spans="1:17" x14ac:dyDescent="0.25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</row>
    <row r="7" spans="1:17" ht="27.95" customHeight="1" x14ac:dyDescent="0.25">
      <c r="A7" s="350" t="s">
        <v>258</v>
      </c>
      <c r="B7" s="351"/>
      <c r="C7" s="351"/>
      <c r="D7" s="351"/>
      <c r="E7" s="352"/>
      <c r="F7" s="353" t="s">
        <v>259</v>
      </c>
      <c r="G7" s="353"/>
      <c r="H7" s="353" t="s">
        <v>260</v>
      </c>
      <c r="I7" s="353"/>
      <c r="J7" s="142" t="s">
        <v>261</v>
      </c>
      <c r="K7" s="354" t="s">
        <v>262</v>
      </c>
      <c r="L7" s="352"/>
      <c r="M7" s="353" t="s">
        <v>263</v>
      </c>
      <c r="N7" s="355"/>
    </row>
    <row r="8" spans="1:17" ht="20.100000000000001" customHeight="1" x14ac:dyDescent="0.25">
      <c r="A8" s="143" t="s">
        <v>264</v>
      </c>
      <c r="B8" s="144"/>
      <c r="C8" s="144"/>
      <c r="D8" s="144"/>
      <c r="E8" s="145"/>
      <c r="F8" s="356">
        <v>1</v>
      </c>
      <c r="G8" s="357"/>
      <c r="H8" s="356">
        <v>50000</v>
      </c>
      <c r="I8" s="357"/>
      <c r="J8" s="146">
        <f t="shared" ref="J8:J23" si="0">F8*H8</f>
        <v>50000</v>
      </c>
      <c r="K8" s="356"/>
      <c r="L8" s="357"/>
      <c r="M8" s="356">
        <f t="shared" ref="M8:M23" si="1">J8-K8</f>
        <v>50000</v>
      </c>
      <c r="N8" s="358"/>
    </row>
    <row r="9" spans="1:17" x14ac:dyDescent="0.25">
      <c r="A9" s="147" t="s">
        <v>265</v>
      </c>
      <c r="B9" s="148"/>
      <c r="C9" s="148"/>
      <c r="D9" s="148"/>
      <c r="E9" s="149"/>
      <c r="F9" s="359">
        <v>3</v>
      </c>
      <c r="G9" s="360"/>
      <c r="H9" s="359">
        <v>150000</v>
      </c>
      <c r="I9" s="360"/>
      <c r="J9" s="150">
        <f t="shared" si="0"/>
        <v>450000</v>
      </c>
      <c r="K9" s="359"/>
      <c r="L9" s="360"/>
      <c r="M9" s="359">
        <f t="shared" si="1"/>
        <v>450000</v>
      </c>
      <c r="N9" s="361"/>
    </row>
    <row r="10" spans="1:17" x14ac:dyDescent="0.25">
      <c r="A10" s="147" t="s">
        <v>266</v>
      </c>
      <c r="B10" s="148"/>
      <c r="C10" s="148"/>
      <c r="D10" s="148"/>
      <c r="E10" s="149"/>
      <c r="F10" s="359">
        <v>1</v>
      </c>
      <c r="G10" s="360"/>
      <c r="H10" s="359">
        <v>1500000</v>
      </c>
      <c r="I10" s="360"/>
      <c r="J10" s="150">
        <f t="shared" si="0"/>
        <v>1500000</v>
      </c>
      <c r="K10" s="359"/>
      <c r="L10" s="360"/>
      <c r="M10" s="359">
        <f t="shared" si="1"/>
        <v>1500000</v>
      </c>
      <c r="N10" s="361"/>
    </row>
    <row r="11" spans="1:17" x14ac:dyDescent="0.25">
      <c r="A11" s="147" t="s">
        <v>267</v>
      </c>
      <c r="B11" s="148"/>
      <c r="C11" s="148"/>
      <c r="D11" s="148"/>
      <c r="E11" s="149"/>
      <c r="F11" s="359">
        <v>1</v>
      </c>
      <c r="G11" s="360"/>
      <c r="H11" s="359">
        <v>1000000</v>
      </c>
      <c r="I11" s="360"/>
      <c r="J11" s="150">
        <f t="shared" si="0"/>
        <v>1000000</v>
      </c>
      <c r="K11" s="359"/>
      <c r="L11" s="360"/>
      <c r="M11" s="359">
        <f t="shared" si="1"/>
        <v>1000000</v>
      </c>
      <c r="N11" s="361"/>
    </row>
    <row r="12" spans="1:17" x14ac:dyDescent="0.25">
      <c r="A12" s="147" t="s">
        <v>268</v>
      </c>
      <c r="B12" s="148"/>
      <c r="C12" s="148"/>
      <c r="D12" s="148"/>
      <c r="E12" s="149"/>
      <c r="F12" s="359">
        <v>2</v>
      </c>
      <c r="G12" s="360"/>
      <c r="H12" s="359">
        <v>100000</v>
      </c>
      <c r="I12" s="360"/>
      <c r="J12" s="150">
        <f t="shared" si="0"/>
        <v>200000</v>
      </c>
      <c r="K12" s="359"/>
      <c r="L12" s="360"/>
      <c r="M12" s="359">
        <f t="shared" si="1"/>
        <v>200000</v>
      </c>
      <c r="N12" s="361"/>
    </row>
    <row r="13" spans="1:17" x14ac:dyDescent="0.25">
      <c r="A13" s="147" t="s">
        <v>269</v>
      </c>
      <c r="B13" s="148"/>
      <c r="C13" s="148"/>
      <c r="D13" s="148"/>
      <c r="E13" s="149"/>
      <c r="F13" s="359">
        <v>2</v>
      </c>
      <c r="G13" s="360"/>
      <c r="H13" s="359">
        <v>150000</v>
      </c>
      <c r="I13" s="360"/>
      <c r="J13" s="150">
        <f t="shared" si="0"/>
        <v>300000</v>
      </c>
      <c r="K13" s="359"/>
      <c r="L13" s="360"/>
      <c r="M13" s="359">
        <f t="shared" si="1"/>
        <v>300000</v>
      </c>
      <c r="N13" s="361"/>
    </row>
    <row r="14" spans="1:17" x14ac:dyDescent="0.25">
      <c r="A14" s="147" t="s">
        <v>270</v>
      </c>
      <c r="B14" s="148"/>
      <c r="C14" s="148"/>
      <c r="D14" s="148"/>
      <c r="E14" s="149"/>
      <c r="F14" s="359">
        <v>2</v>
      </c>
      <c r="G14" s="360"/>
      <c r="H14" s="359">
        <v>135000</v>
      </c>
      <c r="I14" s="360"/>
      <c r="J14" s="150">
        <f t="shared" si="0"/>
        <v>270000</v>
      </c>
      <c r="K14" s="359"/>
      <c r="L14" s="360"/>
      <c r="M14" s="359">
        <f t="shared" si="1"/>
        <v>270000</v>
      </c>
      <c r="N14" s="361"/>
    </row>
    <row r="15" spans="1:17" x14ac:dyDescent="0.25">
      <c r="A15" s="147" t="s">
        <v>271</v>
      </c>
      <c r="B15" s="148"/>
      <c r="C15" s="148"/>
      <c r="D15" s="148"/>
      <c r="E15" s="149"/>
      <c r="F15" s="359">
        <v>1</v>
      </c>
      <c r="G15" s="360"/>
      <c r="H15" s="359">
        <v>25000</v>
      </c>
      <c r="I15" s="360"/>
      <c r="J15" s="150">
        <f t="shared" si="0"/>
        <v>25000</v>
      </c>
      <c r="K15" s="359"/>
      <c r="L15" s="360"/>
      <c r="M15" s="359">
        <f t="shared" si="1"/>
        <v>25000</v>
      </c>
      <c r="N15" s="361"/>
    </row>
    <row r="16" spans="1:17" x14ac:dyDescent="0.25">
      <c r="A16" s="147" t="s">
        <v>272</v>
      </c>
      <c r="B16" s="148"/>
      <c r="C16" s="148"/>
      <c r="D16" s="148"/>
      <c r="E16" s="149"/>
      <c r="F16" s="359"/>
      <c r="G16" s="360"/>
      <c r="H16" s="359"/>
      <c r="I16" s="360"/>
      <c r="J16" s="150">
        <f t="shared" si="0"/>
        <v>0</v>
      </c>
      <c r="K16" s="359"/>
      <c r="L16" s="360"/>
      <c r="M16" s="359">
        <f t="shared" si="1"/>
        <v>0</v>
      </c>
      <c r="N16" s="361"/>
    </row>
    <row r="17" spans="1:14" x14ac:dyDescent="0.25">
      <c r="A17" s="147" t="s">
        <v>273</v>
      </c>
      <c r="B17" s="148"/>
      <c r="C17" s="148"/>
      <c r="D17" s="148"/>
      <c r="E17" s="149"/>
      <c r="F17" s="359">
        <v>1</v>
      </c>
      <c r="G17" s="360"/>
      <c r="H17" s="359">
        <v>25000</v>
      </c>
      <c r="I17" s="360"/>
      <c r="J17" s="150">
        <f t="shared" si="0"/>
        <v>25000</v>
      </c>
      <c r="K17" s="359"/>
      <c r="L17" s="360"/>
      <c r="M17" s="359">
        <f t="shared" si="1"/>
        <v>25000</v>
      </c>
      <c r="N17" s="361"/>
    </row>
    <row r="18" spans="1:14" x14ac:dyDescent="0.25">
      <c r="A18" s="147" t="s">
        <v>274</v>
      </c>
      <c r="B18" s="148"/>
      <c r="C18" s="148"/>
      <c r="D18" s="148"/>
      <c r="E18" s="149"/>
      <c r="F18" s="359">
        <v>2</v>
      </c>
      <c r="G18" s="360"/>
      <c r="H18" s="359">
        <v>30000</v>
      </c>
      <c r="I18" s="360"/>
      <c r="J18" s="150">
        <f t="shared" si="0"/>
        <v>60000</v>
      </c>
      <c r="K18" s="359"/>
      <c r="L18" s="360"/>
      <c r="M18" s="359">
        <f t="shared" si="1"/>
        <v>60000</v>
      </c>
      <c r="N18" s="361"/>
    </row>
    <row r="19" spans="1:14" x14ac:dyDescent="0.25">
      <c r="A19" s="147" t="s">
        <v>275</v>
      </c>
      <c r="B19" s="148"/>
      <c r="C19" s="148"/>
      <c r="D19" s="148"/>
      <c r="E19" s="149"/>
      <c r="F19" s="359">
        <v>2</v>
      </c>
      <c r="G19" s="360"/>
      <c r="H19" s="359">
        <v>75000</v>
      </c>
      <c r="I19" s="360"/>
      <c r="J19" s="150">
        <f t="shared" si="0"/>
        <v>150000</v>
      </c>
      <c r="K19" s="359"/>
      <c r="L19" s="360"/>
      <c r="M19" s="359">
        <f t="shared" si="1"/>
        <v>150000</v>
      </c>
      <c r="N19" s="361"/>
    </row>
    <row r="20" spans="1:14" x14ac:dyDescent="0.25">
      <c r="A20" s="147" t="s">
        <v>276</v>
      </c>
      <c r="B20" s="148"/>
      <c r="C20" s="148"/>
      <c r="D20" s="148"/>
      <c r="E20" s="149"/>
      <c r="F20" s="359">
        <v>1</v>
      </c>
      <c r="G20" s="360"/>
      <c r="H20" s="359">
        <v>75000</v>
      </c>
      <c r="I20" s="360"/>
      <c r="J20" s="150">
        <f t="shared" si="0"/>
        <v>75000</v>
      </c>
      <c r="K20" s="359"/>
      <c r="L20" s="360"/>
      <c r="M20" s="359">
        <f t="shared" si="1"/>
        <v>75000</v>
      </c>
      <c r="N20" s="361"/>
    </row>
    <row r="21" spans="1:14" x14ac:dyDescent="0.25">
      <c r="A21" s="147" t="s">
        <v>277</v>
      </c>
      <c r="B21" s="148"/>
      <c r="C21" s="148"/>
      <c r="D21" s="148"/>
      <c r="E21" s="149"/>
      <c r="F21" s="359">
        <v>2</v>
      </c>
      <c r="G21" s="360"/>
      <c r="H21" s="359">
        <v>10000</v>
      </c>
      <c r="I21" s="360"/>
      <c r="J21" s="150">
        <f t="shared" si="0"/>
        <v>20000</v>
      </c>
      <c r="K21" s="359"/>
      <c r="L21" s="360"/>
      <c r="M21" s="359">
        <f t="shared" si="1"/>
        <v>20000</v>
      </c>
      <c r="N21" s="361"/>
    </row>
    <row r="22" spans="1:14" x14ac:dyDescent="0.25">
      <c r="A22" s="147" t="s">
        <v>278</v>
      </c>
      <c r="B22" s="148"/>
      <c r="C22" s="148"/>
      <c r="D22" s="148"/>
      <c r="E22" s="149"/>
      <c r="F22" s="359"/>
      <c r="G22" s="360"/>
      <c r="H22" s="359"/>
      <c r="I22" s="360"/>
      <c r="J22" s="150">
        <f t="shared" si="0"/>
        <v>0</v>
      </c>
      <c r="K22" s="359"/>
      <c r="L22" s="360"/>
      <c r="M22" s="359">
        <f t="shared" si="1"/>
        <v>0</v>
      </c>
      <c r="N22" s="361"/>
    </row>
    <row r="23" spans="1:14" x14ac:dyDescent="0.25">
      <c r="A23" s="362"/>
      <c r="B23" s="363"/>
      <c r="C23" s="363"/>
      <c r="D23" s="363"/>
      <c r="E23" s="364"/>
      <c r="F23" s="359"/>
      <c r="G23" s="360"/>
      <c r="H23" s="359"/>
      <c r="I23" s="360"/>
      <c r="J23" s="150">
        <f t="shared" si="0"/>
        <v>0</v>
      </c>
      <c r="K23" s="359"/>
      <c r="L23" s="360"/>
      <c r="M23" s="359">
        <f t="shared" si="1"/>
        <v>0</v>
      </c>
      <c r="N23" s="361"/>
    </row>
    <row r="24" spans="1:14" ht="20.100000000000001" customHeight="1" x14ac:dyDescent="0.25">
      <c r="A24" s="365" t="s">
        <v>279</v>
      </c>
      <c r="B24" s="366"/>
      <c r="C24" s="366"/>
      <c r="D24" s="366"/>
      <c r="E24" s="367"/>
      <c r="F24" s="368" t="s">
        <v>280</v>
      </c>
      <c r="G24" s="369"/>
      <c r="H24" s="368" t="s">
        <v>280</v>
      </c>
      <c r="I24" s="369"/>
      <c r="J24" s="151">
        <f>SUM(J8:J23)</f>
        <v>4125000</v>
      </c>
      <c r="K24" s="368">
        <f>SUM(K8:L23)</f>
        <v>0</v>
      </c>
      <c r="L24" s="369"/>
      <c r="M24" s="368">
        <f>SUM(M8:N23)</f>
        <v>4125000</v>
      </c>
      <c r="N24" s="369"/>
    </row>
    <row r="25" spans="1:14" ht="6.95" customHeight="1" x14ac:dyDescent="0.25">
      <c r="A25" s="141"/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</row>
    <row r="26" spans="1:14" x14ac:dyDescent="0.25">
      <c r="A26" s="152" t="s">
        <v>291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</row>
    <row r="27" spans="1:14" ht="21.95" customHeight="1" x14ac:dyDescent="0.25">
      <c r="A27" s="141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</row>
    <row r="28" spans="1:14" ht="17.100000000000001" customHeight="1" x14ac:dyDescent="0.25">
      <c r="A28" s="139" t="s">
        <v>281</v>
      </c>
      <c r="B28" s="139"/>
      <c r="C28" s="139"/>
      <c r="D28" s="139"/>
      <c r="E28" s="153"/>
      <c r="F28" s="141"/>
      <c r="G28" s="141"/>
      <c r="H28" s="141"/>
      <c r="I28" s="141"/>
      <c r="J28" s="141"/>
      <c r="K28" s="141"/>
      <c r="L28" s="141"/>
      <c r="M28" s="141"/>
    </row>
    <row r="29" spans="1:14" x14ac:dyDescent="0.25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</row>
    <row r="30" spans="1:14" ht="26.1" customHeight="1" x14ac:dyDescent="0.25">
      <c r="A30" s="350" t="s">
        <v>258</v>
      </c>
      <c r="B30" s="351"/>
      <c r="C30" s="351"/>
      <c r="D30" s="351"/>
      <c r="E30" s="352"/>
      <c r="F30" s="353" t="s">
        <v>259</v>
      </c>
      <c r="G30" s="353"/>
      <c r="H30" s="353" t="s">
        <v>260</v>
      </c>
      <c r="I30" s="353"/>
      <c r="J30" s="142" t="s">
        <v>261</v>
      </c>
      <c r="K30" s="354" t="s">
        <v>262</v>
      </c>
      <c r="L30" s="352"/>
      <c r="M30" s="353" t="s">
        <v>263</v>
      </c>
      <c r="N30" s="355"/>
    </row>
    <row r="31" spans="1:14" x14ac:dyDescent="0.25">
      <c r="A31" s="370" t="s">
        <v>282</v>
      </c>
      <c r="B31" s="371"/>
      <c r="C31" s="371"/>
      <c r="D31" s="371"/>
      <c r="E31" s="372"/>
      <c r="F31" s="356">
        <v>10</v>
      </c>
      <c r="G31" s="357"/>
      <c r="H31" s="356">
        <v>2500</v>
      </c>
      <c r="I31" s="357"/>
      <c r="J31" s="146">
        <f>F31*H31</f>
        <v>25000</v>
      </c>
      <c r="K31" s="356"/>
      <c r="L31" s="357"/>
      <c r="M31" s="356">
        <f>J31-K31</f>
        <v>25000</v>
      </c>
      <c r="N31" s="358"/>
    </row>
    <row r="32" spans="1:14" x14ac:dyDescent="0.25">
      <c r="A32" s="362" t="s">
        <v>283</v>
      </c>
      <c r="B32" s="363"/>
      <c r="C32" s="363"/>
      <c r="D32" s="363"/>
      <c r="E32" s="364"/>
      <c r="F32" s="359">
        <v>10</v>
      </c>
      <c r="G32" s="360"/>
      <c r="H32" s="359">
        <v>15000</v>
      </c>
      <c r="I32" s="360"/>
      <c r="J32" s="150">
        <f>F32*H32</f>
        <v>150000</v>
      </c>
      <c r="K32" s="359"/>
      <c r="L32" s="360"/>
      <c r="M32" s="359">
        <f>J32-K32</f>
        <v>150000</v>
      </c>
      <c r="N32" s="361"/>
    </row>
    <row r="33" spans="1:14" x14ac:dyDescent="0.25">
      <c r="A33" s="362" t="s">
        <v>284</v>
      </c>
      <c r="B33" s="363"/>
      <c r="C33" s="363"/>
      <c r="D33" s="363"/>
      <c r="E33" s="364"/>
      <c r="F33" s="359">
        <v>1</v>
      </c>
      <c r="G33" s="360"/>
      <c r="H33" s="359">
        <v>100000</v>
      </c>
      <c r="I33" s="360"/>
      <c r="J33" s="150">
        <f>F33*H33</f>
        <v>100000</v>
      </c>
      <c r="K33" s="359"/>
      <c r="L33" s="360"/>
      <c r="M33" s="359">
        <f>J33-K33</f>
        <v>100000</v>
      </c>
      <c r="N33" s="361"/>
    </row>
    <row r="34" spans="1:14" x14ac:dyDescent="0.25">
      <c r="A34" s="362" t="s">
        <v>285</v>
      </c>
      <c r="B34" s="363"/>
      <c r="C34" s="363"/>
      <c r="D34" s="363"/>
      <c r="E34" s="364"/>
      <c r="F34" s="359">
        <v>1</v>
      </c>
      <c r="G34" s="360"/>
      <c r="H34" s="359">
        <v>100000</v>
      </c>
      <c r="I34" s="360"/>
      <c r="J34" s="150">
        <f>F34*H34</f>
        <v>100000</v>
      </c>
      <c r="K34" s="359"/>
      <c r="L34" s="360"/>
      <c r="M34" s="359">
        <f>J34-K34</f>
        <v>100000</v>
      </c>
      <c r="N34" s="361"/>
    </row>
    <row r="35" spans="1:14" x14ac:dyDescent="0.25">
      <c r="A35" s="362"/>
      <c r="B35" s="363"/>
      <c r="C35" s="363"/>
      <c r="D35" s="363"/>
      <c r="E35" s="364"/>
      <c r="F35" s="359"/>
      <c r="G35" s="360"/>
      <c r="H35" s="359"/>
      <c r="I35" s="360"/>
      <c r="J35" s="150">
        <f>F35*H35</f>
        <v>0</v>
      </c>
      <c r="K35" s="359"/>
      <c r="L35" s="360"/>
      <c r="M35" s="359">
        <f>J35-K35</f>
        <v>0</v>
      </c>
      <c r="N35" s="361"/>
    </row>
    <row r="36" spans="1:14" ht="18" customHeight="1" x14ac:dyDescent="0.25">
      <c r="A36" s="365" t="s">
        <v>286</v>
      </c>
      <c r="B36" s="366"/>
      <c r="C36" s="366"/>
      <c r="D36" s="366"/>
      <c r="E36" s="367"/>
      <c r="F36" s="368" t="s">
        <v>280</v>
      </c>
      <c r="G36" s="369"/>
      <c r="H36" s="368" t="s">
        <v>280</v>
      </c>
      <c r="I36" s="369"/>
      <c r="J36" s="151">
        <f>SUM(J31:J35)</f>
        <v>375000</v>
      </c>
      <c r="K36" s="368">
        <f>SUM(K31:L35)</f>
        <v>0</v>
      </c>
      <c r="L36" s="369"/>
      <c r="M36" s="368">
        <f>SUM(M31:N35)</f>
        <v>375000</v>
      </c>
      <c r="N36" s="369"/>
    </row>
    <row r="37" spans="1:14" s="156" customFormat="1" ht="9.9499999999999993" customHeight="1" x14ac:dyDescent="0.25">
      <c r="A37" s="154"/>
      <c r="B37" s="154"/>
      <c r="C37" s="154"/>
      <c r="D37" s="154"/>
      <c r="E37" s="154"/>
      <c r="F37" s="155"/>
      <c r="G37" s="155"/>
      <c r="H37" s="155"/>
      <c r="I37" s="155"/>
      <c r="J37" s="155"/>
      <c r="K37" s="155"/>
      <c r="L37" s="155"/>
      <c r="M37" s="155"/>
      <c r="N37" s="155"/>
    </row>
    <row r="38" spans="1:14" ht="24" customHeight="1" x14ac:dyDescent="0.25">
      <c r="A38" s="365" t="s">
        <v>287</v>
      </c>
      <c r="B38" s="366"/>
      <c r="C38" s="366"/>
      <c r="D38" s="366"/>
      <c r="E38" s="366"/>
      <c r="F38" s="366"/>
      <c r="G38" s="366"/>
      <c r="H38" s="366"/>
      <c r="I38" s="367"/>
      <c r="J38" s="151">
        <f>J24+J36</f>
        <v>4500000</v>
      </c>
      <c r="K38" s="368">
        <f>K24+K36</f>
        <v>0</v>
      </c>
      <c r="L38" s="369"/>
      <c r="M38" s="368">
        <f>M24+M36</f>
        <v>4500000</v>
      </c>
      <c r="N38" s="373"/>
    </row>
    <row r="39" spans="1:14" ht="15" customHeight="1" x14ac:dyDescent="0.25">
      <c r="A39" s="141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</row>
    <row r="40" spans="1:14" ht="12" customHeight="1" x14ac:dyDescent="0.25">
      <c r="A40" s="141"/>
      <c r="B40" s="374" t="s">
        <v>288</v>
      </c>
      <c r="C40" s="375"/>
      <c r="D40" s="375"/>
      <c r="E40" s="375"/>
      <c r="F40" s="375"/>
      <c r="G40" s="375"/>
      <c r="H40" s="375" t="s">
        <v>289</v>
      </c>
      <c r="I40" s="375"/>
      <c r="J40" s="375"/>
      <c r="K40" s="375" t="s">
        <v>295</v>
      </c>
      <c r="L40" s="378">
        <f>J24+J36</f>
        <v>4500000</v>
      </c>
      <c r="M40" s="378"/>
      <c r="N40" s="379"/>
    </row>
    <row r="41" spans="1:14" x14ac:dyDescent="0.25">
      <c r="A41" s="141"/>
      <c r="B41" s="376"/>
      <c r="C41" s="377"/>
      <c r="D41" s="377"/>
      <c r="E41" s="377"/>
      <c r="F41" s="377"/>
      <c r="G41" s="377"/>
      <c r="H41" s="377"/>
      <c r="I41" s="377"/>
      <c r="J41" s="377"/>
      <c r="K41" s="377"/>
      <c r="L41" s="380"/>
      <c r="M41" s="380"/>
      <c r="N41" s="381"/>
    </row>
    <row r="42" spans="1:14" x14ac:dyDescent="0.2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</row>
    <row r="43" spans="1:14" x14ac:dyDescent="0.25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</row>
    <row r="44" spans="1:14" x14ac:dyDescent="0.25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</row>
    <row r="45" spans="1:14" x14ac:dyDescent="0.25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</row>
    <row r="46" spans="1:14" x14ac:dyDescent="0.25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</row>
    <row r="47" spans="1:14" x14ac:dyDescent="0.25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</row>
    <row r="48" spans="1:14" x14ac:dyDescent="0.25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</row>
    <row r="49" spans="1:13" x14ac:dyDescent="0.25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</row>
    <row r="50" spans="1:13" x14ac:dyDescent="0.25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</row>
    <row r="51" spans="1:13" x14ac:dyDescent="0.25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</row>
    <row r="52" spans="1:13" x14ac:dyDescent="0.25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</row>
    <row r="53" spans="1:13" x14ac:dyDescent="0.25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</row>
    <row r="54" spans="1:13" x14ac:dyDescent="0.25">
      <c r="A54" s="141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</row>
    <row r="55" spans="1:13" x14ac:dyDescent="0.25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</row>
    <row r="56" spans="1:13" x14ac:dyDescent="0.25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</row>
    <row r="57" spans="1:13" x14ac:dyDescent="0.25">
      <c r="A57" s="141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</row>
    <row r="58" spans="1:13" x14ac:dyDescent="0.25">
      <c r="A58" s="141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</row>
    <row r="59" spans="1:13" x14ac:dyDescent="0.25">
      <c r="A59" s="141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</row>
    <row r="60" spans="1:13" x14ac:dyDescent="0.25">
      <c r="A60" s="141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</row>
    <row r="61" spans="1:13" x14ac:dyDescent="0.25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</row>
    <row r="62" spans="1:13" x14ac:dyDescent="0.25">
      <c r="A62" s="141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</row>
    <row r="63" spans="1:13" x14ac:dyDescent="0.25">
      <c r="A63" s="141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</row>
    <row r="64" spans="1:13" x14ac:dyDescent="0.25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</row>
    <row r="65" spans="1:13" x14ac:dyDescent="0.25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</row>
    <row r="66" spans="1:13" x14ac:dyDescent="0.25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13" x14ac:dyDescent="0.25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</row>
    <row r="68" spans="1:13" x14ac:dyDescent="0.25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</row>
    <row r="69" spans="1:13" x14ac:dyDescent="0.25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</row>
    <row r="70" spans="1:13" x14ac:dyDescent="0.25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</row>
    <row r="71" spans="1:13" x14ac:dyDescent="0.25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</row>
    <row r="72" spans="1:13" x14ac:dyDescent="0.25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</row>
    <row r="73" spans="1:13" x14ac:dyDescent="0.25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</row>
    <row r="74" spans="1:13" x14ac:dyDescent="0.25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</row>
    <row r="75" spans="1:13" x14ac:dyDescent="0.25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</row>
    <row r="76" spans="1:13" x14ac:dyDescent="0.25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</row>
    <row r="77" spans="1:13" x14ac:dyDescent="0.25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</row>
    <row r="78" spans="1:13" x14ac:dyDescent="0.25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</row>
    <row r="79" spans="1:13" x14ac:dyDescent="0.25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</row>
    <row r="80" spans="1:13" x14ac:dyDescent="0.25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</row>
    <row r="81" spans="1:13" x14ac:dyDescent="0.25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</row>
  </sheetData>
  <mergeCells count="119">
    <mergeCell ref="A38:I38"/>
    <mergeCell ref="K38:L38"/>
    <mergeCell ref="M38:N38"/>
    <mergeCell ref="B40:G41"/>
    <mergeCell ref="H40:J41"/>
    <mergeCell ref="K40:K41"/>
    <mergeCell ref="L40:N41"/>
    <mergeCell ref="A35:E35"/>
    <mergeCell ref="F35:G35"/>
    <mergeCell ref="H35:I35"/>
    <mergeCell ref="K35:L35"/>
    <mergeCell ref="M35:N35"/>
    <mergeCell ref="A36:E36"/>
    <mergeCell ref="F36:G36"/>
    <mergeCell ref="H36:I36"/>
    <mergeCell ref="K36:L36"/>
    <mergeCell ref="M36:N36"/>
    <mergeCell ref="A33:E33"/>
    <mergeCell ref="F33:G33"/>
    <mergeCell ref="H33:I33"/>
    <mergeCell ref="K33:L33"/>
    <mergeCell ref="M33:N33"/>
    <mergeCell ref="A34:E34"/>
    <mergeCell ref="F34:G34"/>
    <mergeCell ref="H34:I34"/>
    <mergeCell ref="K34:L34"/>
    <mergeCell ref="M34:N34"/>
    <mergeCell ref="A31:E31"/>
    <mergeCell ref="F31:G31"/>
    <mergeCell ref="H31:I31"/>
    <mergeCell ref="K31:L31"/>
    <mergeCell ref="M31:N31"/>
    <mergeCell ref="A32:E32"/>
    <mergeCell ref="F32:G32"/>
    <mergeCell ref="H32:I32"/>
    <mergeCell ref="K32:L32"/>
    <mergeCell ref="M32:N32"/>
    <mergeCell ref="A24:E24"/>
    <mergeCell ref="F24:G24"/>
    <mergeCell ref="H24:I24"/>
    <mergeCell ref="K24:L24"/>
    <mergeCell ref="M24:N24"/>
    <mergeCell ref="A30:E30"/>
    <mergeCell ref="F30:G30"/>
    <mergeCell ref="H30:I30"/>
    <mergeCell ref="K30:L30"/>
    <mergeCell ref="M30:N30"/>
    <mergeCell ref="F21:G21"/>
    <mergeCell ref="H21:I21"/>
    <mergeCell ref="K21:L21"/>
    <mergeCell ref="M21:N21"/>
    <mergeCell ref="F22:G22"/>
    <mergeCell ref="H22:I22"/>
    <mergeCell ref="K22:L22"/>
    <mergeCell ref="M22:N22"/>
    <mergeCell ref="A23:E23"/>
    <mergeCell ref="F23:G23"/>
    <mergeCell ref="H23:I23"/>
    <mergeCell ref="K23:L23"/>
    <mergeCell ref="M23:N23"/>
    <mergeCell ref="F18:G18"/>
    <mergeCell ref="H18:I18"/>
    <mergeCell ref="K18:L18"/>
    <mergeCell ref="M18:N18"/>
    <mergeCell ref="F19:G19"/>
    <mergeCell ref="H19:I19"/>
    <mergeCell ref="K19:L19"/>
    <mergeCell ref="M19:N19"/>
    <mergeCell ref="F20:G20"/>
    <mergeCell ref="H20:I20"/>
    <mergeCell ref="K20:L20"/>
    <mergeCell ref="M20:N20"/>
    <mergeCell ref="F15:G15"/>
    <mergeCell ref="H15:I15"/>
    <mergeCell ref="K15:L15"/>
    <mergeCell ref="M15:N15"/>
    <mergeCell ref="F16:G16"/>
    <mergeCell ref="H16:I16"/>
    <mergeCell ref="K16:L16"/>
    <mergeCell ref="M16:N16"/>
    <mergeCell ref="F17:G17"/>
    <mergeCell ref="H17:I17"/>
    <mergeCell ref="K17:L17"/>
    <mergeCell ref="M17:N17"/>
    <mergeCell ref="F12:G12"/>
    <mergeCell ref="H12:I12"/>
    <mergeCell ref="K12:L12"/>
    <mergeCell ref="M12:N12"/>
    <mergeCell ref="F13:G13"/>
    <mergeCell ref="H13:I13"/>
    <mergeCell ref="K13:L13"/>
    <mergeCell ref="M13:N13"/>
    <mergeCell ref="F14:G14"/>
    <mergeCell ref="H14:I14"/>
    <mergeCell ref="K14:L14"/>
    <mergeCell ref="M14:N14"/>
    <mergeCell ref="F9:G9"/>
    <mergeCell ref="H9:I9"/>
    <mergeCell ref="K9:L9"/>
    <mergeCell ref="M9:N9"/>
    <mergeCell ref="F10:G10"/>
    <mergeCell ref="H10:I10"/>
    <mergeCell ref="K10:L10"/>
    <mergeCell ref="M10:N10"/>
    <mergeCell ref="F11:G11"/>
    <mergeCell ref="H11:I11"/>
    <mergeCell ref="K11:L11"/>
    <mergeCell ref="M11:N11"/>
    <mergeCell ref="C1:L1"/>
    <mergeCell ref="D3:K3"/>
    <mergeCell ref="A7:E7"/>
    <mergeCell ref="F7:G7"/>
    <mergeCell ref="H7:I7"/>
    <mergeCell ref="K7:L7"/>
    <mergeCell ref="M7:N7"/>
    <mergeCell ref="F8:G8"/>
    <mergeCell ref="H8:I8"/>
    <mergeCell ref="K8:L8"/>
    <mergeCell ref="M8:N8"/>
  </mergeCells>
  <pageMargins left="0.70866141732283472" right="0.70866141732283472" top="0.74803149606299213" bottom="0.74803149606299213" header="0.31496062992125984" footer="0.31496062992125984"/>
  <pageSetup scale="75" orientation="landscape" horizontalDpi="4294967294" r:id="rId1"/>
  <headerFooter>
    <oddFooter>&amp;C11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1"/>
  <sheetViews>
    <sheetView zoomScale="98" zoomScaleNormal="98" workbookViewId="0">
      <pane ySplit="1" topLeftCell="A2" activePane="bottomLeft" state="frozen"/>
      <selection pane="bottomLeft" activeCell="F19" sqref="F19:G19"/>
    </sheetView>
  </sheetViews>
  <sheetFormatPr baseColWidth="10" defaultColWidth="11.42578125" defaultRowHeight="15" x14ac:dyDescent="0.25"/>
  <cols>
    <col min="1" max="2" width="11.42578125" style="162"/>
    <col min="3" max="3" width="14.5703125" style="162" customWidth="1"/>
    <col min="4" max="4" width="11.42578125" style="162"/>
    <col min="5" max="5" width="10.5703125" style="162" customWidth="1"/>
    <col min="6" max="6" width="11.42578125" style="162"/>
    <col min="7" max="7" width="0.28515625" style="162" customWidth="1"/>
    <col min="8" max="8" width="11.42578125" style="162"/>
    <col min="9" max="9" width="11.140625" style="162" customWidth="1"/>
    <col min="10" max="16384" width="11.42578125" style="162"/>
  </cols>
  <sheetData>
    <row r="1" spans="1:11" ht="21" customHeight="1" x14ac:dyDescent="0.25">
      <c r="B1" s="382" t="s">
        <v>292</v>
      </c>
      <c r="C1" s="382"/>
      <c r="D1" s="382"/>
      <c r="E1" s="382"/>
      <c r="F1" s="382"/>
      <c r="G1" s="382"/>
      <c r="H1" s="382"/>
      <c r="I1" s="382"/>
      <c r="J1" s="382"/>
    </row>
    <row r="4" spans="1:11" ht="27" customHeight="1" x14ac:dyDescent="0.25">
      <c r="A4" s="383" t="s">
        <v>296</v>
      </c>
      <c r="B4" s="384"/>
      <c r="C4" s="384"/>
      <c r="D4" s="385"/>
      <c r="E4" s="385"/>
      <c r="F4" s="385"/>
      <c r="G4" s="385"/>
      <c r="H4" s="385"/>
      <c r="I4" s="385"/>
      <c r="J4" s="385"/>
      <c r="K4" s="386"/>
    </row>
    <row r="5" spans="1:11" ht="23.1" customHeight="1" x14ac:dyDescent="0.25">
      <c r="A5" s="387" t="s">
        <v>293</v>
      </c>
      <c r="B5" s="388"/>
      <c r="C5" s="389"/>
      <c r="D5" s="390">
        <v>0</v>
      </c>
      <c r="E5" s="391"/>
      <c r="F5" s="390">
        <f>+BASE_INFORMATION!A14</f>
        <v>2026</v>
      </c>
      <c r="G5" s="391"/>
      <c r="H5" s="172">
        <f>+BASE_INFORMATION!B14</f>
        <v>2027</v>
      </c>
      <c r="I5" s="172">
        <f>+BASE_INFORMATION!C14</f>
        <v>2028</v>
      </c>
      <c r="J5" s="172">
        <f>+BASE_INFORMATION!D14</f>
        <v>2029</v>
      </c>
      <c r="K5" s="173">
        <f>+BASE_INFORMATION!E14</f>
        <v>2030</v>
      </c>
    </row>
    <row r="6" spans="1:11" ht="21" customHeight="1" x14ac:dyDescent="0.25">
      <c r="A6" s="163" t="str">
        <f>+'Cout total Projet'!A8</f>
        <v>Frais de création et autres frais d'enregistrement</v>
      </c>
      <c r="B6" s="164"/>
      <c r="C6" s="165"/>
      <c r="D6" s="392">
        <f>+'Cout total Projet'!J8</f>
        <v>50000</v>
      </c>
      <c r="E6" s="393"/>
      <c r="F6" s="394">
        <f t="shared" ref="F6:F20" si="0">D6/5</f>
        <v>10000</v>
      </c>
      <c r="G6" s="395"/>
      <c r="H6" s="170">
        <f t="shared" ref="H6:H20" si="1">F6/5</f>
        <v>2000</v>
      </c>
      <c r="I6" s="170">
        <f t="shared" ref="I6:I20" si="2">G6/5</f>
        <v>0</v>
      </c>
      <c r="J6" s="170">
        <f t="shared" ref="J6:J20" si="3">H6/5</f>
        <v>400</v>
      </c>
      <c r="K6" s="174">
        <f t="shared" ref="K6:K20" si="4">I6/5</f>
        <v>0</v>
      </c>
    </row>
    <row r="7" spans="1:11" ht="21" customHeight="1" x14ac:dyDescent="0.25">
      <c r="A7" s="163" t="str">
        <f>+'Cout total Projet'!A9</f>
        <v>Caution pour le local (3 mois)</v>
      </c>
      <c r="B7" s="166"/>
      <c r="C7" s="167"/>
      <c r="D7" s="392">
        <f>+'Cout total Projet'!J9</f>
        <v>450000</v>
      </c>
      <c r="E7" s="393"/>
      <c r="F7" s="394">
        <f t="shared" si="0"/>
        <v>90000</v>
      </c>
      <c r="G7" s="395"/>
      <c r="H7" s="170">
        <f t="shared" si="1"/>
        <v>18000</v>
      </c>
      <c r="I7" s="170">
        <f t="shared" si="2"/>
        <v>0</v>
      </c>
      <c r="J7" s="170">
        <f t="shared" si="3"/>
        <v>3600</v>
      </c>
      <c r="K7" s="174">
        <f t="shared" si="4"/>
        <v>0</v>
      </c>
    </row>
    <row r="8" spans="1:11" ht="20.100000000000001" customHeight="1" x14ac:dyDescent="0.25">
      <c r="A8" s="163" t="str">
        <f>+'Cout total Projet'!A10</f>
        <v>Travaux et aménagement</v>
      </c>
      <c r="B8" s="166"/>
      <c r="C8" s="167"/>
      <c r="D8" s="392">
        <f>+'Cout total Projet'!J10</f>
        <v>1500000</v>
      </c>
      <c r="E8" s="393"/>
      <c r="F8" s="394">
        <f t="shared" si="0"/>
        <v>300000</v>
      </c>
      <c r="G8" s="395"/>
      <c r="H8" s="170">
        <f t="shared" si="1"/>
        <v>60000</v>
      </c>
      <c r="I8" s="170">
        <f t="shared" si="2"/>
        <v>0</v>
      </c>
      <c r="J8" s="170">
        <f t="shared" si="3"/>
        <v>12000</v>
      </c>
      <c r="K8" s="174">
        <f t="shared" si="4"/>
        <v>0</v>
      </c>
    </row>
    <row r="9" spans="1:11" ht="21.95" customHeight="1" x14ac:dyDescent="0.25">
      <c r="A9" s="163" t="str">
        <f>+'Cout total Projet'!A11</f>
        <v>Mobiliers de bureau</v>
      </c>
      <c r="B9" s="166"/>
      <c r="C9" s="167"/>
      <c r="D9" s="392">
        <f>+'Cout total Projet'!J11</f>
        <v>1000000</v>
      </c>
      <c r="E9" s="393"/>
      <c r="F9" s="394">
        <f t="shared" si="0"/>
        <v>200000</v>
      </c>
      <c r="G9" s="395"/>
      <c r="H9" s="170">
        <f t="shared" si="1"/>
        <v>40000</v>
      </c>
      <c r="I9" s="170">
        <f t="shared" si="2"/>
        <v>0</v>
      </c>
      <c r="J9" s="170">
        <f t="shared" si="3"/>
        <v>8000</v>
      </c>
      <c r="K9" s="174">
        <f t="shared" si="4"/>
        <v>0</v>
      </c>
    </row>
    <row r="10" spans="1:11" ht="15" customHeight="1" x14ac:dyDescent="0.25">
      <c r="A10" s="163" t="str">
        <f>+'Cout total Projet'!A12</f>
        <v>Meuble de rangement</v>
      </c>
      <c r="B10" s="166"/>
      <c r="C10" s="167"/>
      <c r="D10" s="392">
        <f>+'Cout total Projet'!J12</f>
        <v>200000</v>
      </c>
      <c r="E10" s="393"/>
      <c r="F10" s="394">
        <f t="shared" si="0"/>
        <v>40000</v>
      </c>
      <c r="G10" s="395"/>
      <c r="H10" s="170">
        <f t="shared" si="1"/>
        <v>8000</v>
      </c>
      <c r="I10" s="170">
        <f t="shared" si="2"/>
        <v>0</v>
      </c>
      <c r="J10" s="170">
        <f t="shared" si="3"/>
        <v>1600</v>
      </c>
      <c r="K10" s="174">
        <f t="shared" si="4"/>
        <v>0</v>
      </c>
    </row>
    <row r="11" spans="1:11" ht="20.100000000000001" customHeight="1" x14ac:dyDescent="0.25">
      <c r="A11" s="163" t="str">
        <f>+'Cout total Projet'!A13</f>
        <v>Ordinateurs de bureau</v>
      </c>
      <c r="B11" s="166"/>
      <c r="C11" s="167"/>
      <c r="D11" s="392">
        <f>+'Cout total Projet'!J13</f>
        <v>300000</v>
      </c>
      <c r="E11" s="393"/>
      <c r="F11" s="394">
        <f t="shared" si="0"/>
        <v>60000</v>
      </c>
      <c r="G11" s="395"/>
      <c r="H11" s="170">
        <f t="shared" si="1"/>
        <v>12000</v>
      </c>
      <c r="I11" s="170">
        <f t="shared" si="2"/>
        <v>0</v>
      </c>
      <c r="J11" s="170">
        <f t="shared" si="3"/>
        <v>2400</v>
      </c>
      <c r="K11" s="174">
        <f t="shared" si="4"/>
        <v>0</v>
      </c>
    </row>
    <row r="12" spans="1:11" ht="18" customHeight="1" x14ac:dyDescent="0.25">
      <c r="A12" s="163" t="str">
        <f>+'Cout total Projet'!A14</f>
        <v>Imprimante/Photocopieuse/Scanneur</v>
      </c>
      <c r="B12" s="166"/>
      <c r="C12" s="167"/>
      <c r="D12" s="392">
        <f>+'Cout total Projet'!J14</f>
        <v>270000</v>
      </c>
      <c r="E12" s="393"/>
      <c r="F12" s="394">
        <f t="shared" si="0"/>
        <v>54000</v>
      </c>
      <c r="G12" s="395"/>
      <c r="H12" s="170">
        <f t="shared" si="1"/>
        <v>10800</v>
      </c>
      <c r="I12" s="170">
        <f t="shared" si="2"/>
        <v>0</v>
      </c>
      <c r="J12" s="170">
        <f t="shared" si="3"/>
        <v>2160</v>
      </c>
      <c r="K12" s="174">
        <f t="shared" si="4"/>
        <v>0</v>
      </c>
    </row>
    <row r="13" spans="1:11" ht="20.100000000000001" customHeight="1" x14ac:dyDescent="0.25">
      <c r="A13" s="163" t="str">
        <f>+'Cout total Projet'!A15</f>
        <v>Routeur WIFI</v>
      </c>
      <c r="B13" s="166"/>
      <c r="C13" s="167"/>
      <c r="D13" s="392">
        <f>+'Cout total Projet'!J15</f>
        <v>25000</v>
      </c>
      <c r="E13" s="393"/>
      <c r="F13" s="394">
        <f t="shared" si="0"/>
        <v>5000</v>
      </c>
      <c r="G13" s="395"/>
      <c r="H13" s="170">
        <f t="shared" si="1"/>
        <v>1000</v>
      </c>
      <c r="I13" s="170">
        <f t="shared" si="2"/>
        <v>0</v>
      </c>
      <c r="J13" s="170">
        <f t="shared" si="3"/>
        <v>200</v>
      </c>
      <c r="K13" s="174">
        <f t="shared" si="4"/>
        <v>0</v>
      </c>
    </row>
    <row r="14" spans="1:11" ht="18" customHeight="1" x14ac:dyDescent="0.25">
      <c r="A14" s="163" t="str">
        <f>+'Cout total Projet'!A16</f>
        <v>Groupe électrogène 5 KVA</v>
      </c>
      <c r="B14" s="166"/>
      <c r="C14" s="167"/>
      <c r="D14" s="392">
        <f>+'Cout total Projet'!J16</f>
        <v>0</v>
      </c>
      <c r="E14" s="393"/>
      <c r="F14" s="394">
        <f t="shared" si="0"/>
        <v>0</v>
      </c>
      <c r="G14" s="395"/>
      <c r="H14" s="170">
        <f t="shared" si="1"/>
        <v>0</v>
      </c>
      <c r="I14" s="170">
        <f t="shared" si="2"/>
        <v>0</v>
      </c>
      <c r="J14" s="170">
        <f t="shared" si="3"/>
        <v>0</v>
      </c>
      <c r="K14" s="174">
        <f t="shared" si="4"/>
        <v>0</v>
      </c>
    </row>
    <row r="15" spans="1:11" ht="18" customHeight="1" x14ac:dyDescent="0.25">
      <c r="A15" s="163" t="str">
        <f>+'Cout total Projet'!A17</f>
        <v>Tableau à marqueur</v>
      </c>
      <c r="B15" s="166"/>
      <c r="C15" s="167"/>
      <c r="D15" s="392">
        <f>+'Cout total Projet'!J17</f>
        <v>25000</v>
      </c>
      <c r="E15" s="393"/>
      <c r="F15" s="394">
        <f t="shared" si="0"/>
        <v>5000</v>
      </c>
      <c r="G15" s="395"/>
      <c r="H15" s="170">
        <f t="shared" si="1"/>
        <v>1000</v>
      </c>
      <c r="I15" s="170">
        <f t="shared" si="2"/>
        <v>0</v>
      </c>
      <c r="J15" s="170">
        <f t="shared" si="3"/>
        <v>200</v>
      </c>
      <c r="K15" s="174">
        <f t="shared" si="4"/>
        <v>0</v>
      </c>
    </row>
    <row r="16" spans="1:11" ht="18" customHeight="1" x14ac:dyDescent="0.25">
      <c r="A16" s="163" t="str">
        <f>+'Cout total Projet'!A18</f>
        <v>Onduleur</v>
      </c>
      <c r="B16" s="166"/>
      <c r="C16" s="167"/>
      <c r="D16" s="392">
        <f>+'Cout total Projet'!J18</f>
        <v>60000</v>
      </c>
      <c r="E16" s="393"/>
      <c r="F16" s="394">
        <f t="shared" si="0"/>
        <v>12000</v>
      </c>
      <c r="G16" s="395"/>
      <c r="H16" s="170">
        <f t="shared" si="1"/>
        <v>2400</v>
      </c>
      <c r="I16" s="170">
        <f t="shared" si="2"/>
        <v>0</v>
      </c>
      <c r="J16" s="170">
        <f t="shared" si="3"/>
        <v>480</v>
      </c>
      <c r="K16" s="174">
        <f t="shared" si="4"/>
        <v>0</v>
      </c>
    </row>
    <row r="17" spans="1:11" ht="18.95" customHeight="1" x14ac:dyDescent="0.25">
      <c r="A17" s="163" t="str">
        <f>+'Cout total Projet'!A19</f>
        <v>Téléphones Smartphones</v>
      </c>
      <c r="B17" s="166"/>
      <c r="C17" s="167"/>
      <c r="D17" s="392">
        <f>+'Cout total Projet'!J19</f>
        <v>150000</v>
      </c>
      <c r="E17" s="393"/>
      <c r="F17" s="394">
        <f t="shared" si="0"/>
        <v>30000</v>
      </c>
      <c r="G17" s="395"/>
      <c r="H17" s="170">
        <f t="shared" si="1"/>
        <v>6000</v>
      </c>
      <c r="I17" s="170">
        <f t="shared" si="2"/>
        <v>0</v>
      </c>
      <c r="J17" s="170">
        <f t="shared" si="3"/>
        <v>1200</v>
      </c>
      <c r="K17" s="174">
        <f t="shared" si="4"/>
        <v>0</v>
      </c>
    </row>
    <row r="18" spans="1:11" ht="20.100000000000001" customHeight="1" x14ac:dyDescent="0.25">
      <c r="A18" s="163" t="str">
        <f>+'Cout total Projet'!A20</f>
        <v>Vidéoprojecteur</v>
      </c>
      <c r="B18" s="166"/>
      <c r="C18" s="167"/>
      <c r="D18" s="392">
        <f>+'Cout total Projet'!J20</f>
        <v>75000</v>
      </c>
      <c r="E18" s="393"/>
      <c r="F18" s="394">
        <f t="shared" si="0"/>
        <v>15000</v>
      </c>
      <c r="G18" s="395"/>
      <c r="H18" s="170">
        <f t="shared" si="1"/>
        <v>3000</v>
      </c>
      <c r="I18" s="170">
        <f t="shared" si="2"/>
        <v>0</v>
      </c>
      <c r="J18" s="170">
        <f t="shared" si="3"/>
        <v>600</v>
      </c>
      <c r="K18" s="174">
        <f t="shared" si="4"/>
        <v>0</v>
      </c>
    </row>
    <row r="19" spans="1:11" ht="18.95" customHeight="1" x14ac:dyDescent="0.25">
      <c r="A19" s="163" t="str">
        <f>+'Cout total Projet'!A21</f>
        <v>Cachets</v>
      </c>
      <c r="B19" s="166"/>
      <c r="C19" s="167"/>
      <c r="D19" s="392">
        <f>+'Cout total Projet'!J21</f>
        <v>20000</v>
      </c>
      <c r="E19" s="393"/>
      <c r="F19" s="394">
        <f t="shared" si="0"/>
        <v>4000</v>
      </c>
      <c r="G19" s="395"/>
      <c r="H19" s="170">
        <f t="shared" si="1"/>
        <v>800</v>
      </c>
      <c r="I19" s="170">
        <f t="shared" si="2"/>
        <v>0</v>
      </c>
      <c r="J19" s="170">
        <f t="shared" si="3"/>
        <v>160</v>
      </c>
      <c r="K19" s="174">
        <f t="shared" si="4"/>
        <v>0</v>
      </c>
    </row>
    <row r="20" spans="1:11" x14ac:dyDescent="0.25">
      <c r="A20" s="163" t="str">
        <f>+'Cout total Projet'!A22</f>
        <v>Boite à outils du Technicien informaticien</v>
      </c>
      <c r="B20" s="168"/>
      <c r="C20" s="169"/>
      <c r="D20" s="392">
        <f>+'Cout total Projet'!J22</f>
        <v>0</v>
      </c>
      <c r="E20" s="393"/>
      <c r="F20" s="394">
        <f t="shared" si="0"/>
        <v>0</v>
      </c>
      <c r="G20" s="395"/>
      <c r="H20" s="170">
        <f t="shared" si="1"/>
        <v>0</v>
      </c>
      <c r="I20" s="170">
        <f t="shared" si="2"/>
        <v>0</v>
      </c>
      <c r="J20" s="170">
        <f t="shared" si="3"/>
        <v>0</v>
      </c>
      <c r="K20" s="174">
        <f t="shared" si="4"/>
        <v>0</v>
      </c>
    </row>
    <row r="21" spans="1:11" ht="27" customHeight="1" x14ac:dyDescent="0.25">
      <c r="A21" s="396" t="s">
        <v>294</v>
      </c>
      <c r="B21" s="397"/>
      <c r="C21" s="398"/>
      <c r="D21" s="399">
        <f>SUM(D6:E20)</f>
        <v>4125000</v>
      </c>
      <c r="E21" s="400"/>
      <c r="F21" s="399">
        <f>SUM(F6:G20)</f>
        <v>825000</v>
      </c>
      <c r="G21" s="400"/>
      <c r="H21" s="175">
        <f>SUM(H6:I20)</f>
        <v>165000</v>
      </c>
      <c r="I21" s="171"/>
      <c r="J21" s="171">
        <f>SUM(J6:K20)</f>
        <v>33000</v>
      </c>
      <c r="K21" s="171"/>
    </row>
  </sheetData>
  <mergeCells count="38">
    <mergeCell ref="A21:C21"/>
    <mergeCell ref="D21:E21"/>
    <mergeCell ref="F21:G21"/>
    <mergeCell ref="D18:E18"/>
    <mergeCell ref="F18:G18"/>
    <mergeCell ref="D19:E19"/>
    <mergeCell ref="F19:G19"/>
    <mergeCell ref="D20:E20"/>
    <mergeCell ref="F20:G20"/>
    <mergeCell ref="D15:E15"/>
    <mergeCell ref="F15:G15"/>
    <mergeCell ref="D16:E16"/>
    <mergeCell ref="F16:G16"/>
    <mergeCell ref="D17:E17"/>
    <mergeCell ref="F17:G17"/>
    <mergeCell ref="D12:E12"/>
    <mergeCell ref="F12:G12"/>
    <mergeCell ref="D13:E13"/>
    <mergeCell ref="F13:G13"/>
    <mergeCell ref="D14:E14"/>
    <mergeCell ref="F14:G14"/>
    <mergeCell ref="D9:E9"/>
    <mergeCell ref="F9:G9"/>
    <mergeCell ref="D10:E10"/>
    <mergeCell ref="F10:G10"/>
    <mergeCell ref="D11:E11"/>
    <mergeCell ref="F11:G11"/>
    <mergeCell ref="D6:E6"/>
    <mergeCell ref="F6:G6"/>
    <mergeCell ref="D7:E7"/>
    <mergeCell ref="F7:G7"/>
    <mergeCell ref="D8:E8"/>
    <mergeCell ref="F8:G8"/>
    <mergeCell ref="B1:J1"/>
    <mergeCell ref="A4:K4"/>
    <mergeCell ref="A5:C5"/>
    <mergeCell ref="D5:E5"/>
    <mergeCell ref="F5:G5"/>
  </mergeCells>
  <pageMargins left="0.70866141732283472" right="0.70866141732283472" top="0.74803149606299213" bottom="0.74803149606299213" header="0.31496062992125984" footer="0.31496062992125984"/>
  <pageSetup scale="95" orientation="landscape" horizontalDpi="4294967294" verticalDpi="0" r:id="rId1"/>
  <headerFooter>
    <oddFooter>&amp;C13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B19"/>
  <sheetViews>
    <sheetView showGridLines="0" view="pageBreakPreview" zoomScale="25" zoomScaleNormal="100" zoomScaleSheetLayoutView="25" workbookViewId="0">
      <selection activeCell="B20" sqref="B20"/>
    </sheetView>
  </sheetViews>
  <sheetFormatPr baseColWidth="10" defaultRowHeight="15" x14ac:dyDescent="0.25"/>
  <cols>
    <col min="1" max="1" width="42.28515625" customWidth="1"/>
    <col min="2" max="2" width="16.7109375" customWidth="1"/>
    <col min="3" max="3" width="11.42578125" customWidth="1"/>
  </cols>
  <sheetData>
    <row r="19" spans="1:2" ht="31.5" x14ac:dyDescent="0.5">
      <c r="A19" s="52" t="s">
        <v>156</v>
      </c>
      <c r="B19" s="53">
        <f>+BASE_INFORMATION!D11</f>
        <v>2025</v>
      </c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8:B18"/>
  <sheetViews>
    <sheetView showGridLines="0" view="pageBreakPreview" zoomScale="25" zoomScaleNormal="100" zoomScaleSheetLayoutView="25" workbookViewId="0">
      <selection activeCell="J36" sqref="J36"/>
    </sheetView>
  </sheetViews>
  <sheetFormatPr baseColWidth="10" defaultRowHeight="15" x14ac:dyDescent="0.25"/>
  <cols>
    <col min="1" max="1" width="30.5703125" customWidth="1"/>
    <col min="2" max="2" width="11.42578125" customWidth="1"/>
  </cols>
  <sheetData>
    <row r="18" spans="1:2" ht="23.25" x14ac:dyDescent="0.35">
      <c r="A18" s="54" t="s">
        <v>157</v>
      </c>
      <c r="B18" s="54">
        <f>+'Page de garde_Exploitation'!B19</f>
        <v>2025</v>
      </c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6"/>
  <sheetViews>
    <sheetView showGridLines="0" zoomScaleNormal="100" workbookViewId="0">
      <selection activeCell="I17" sqref="I17"/>
    </sheetView>
  </sheetViews>
  <sheetFormatPr baseColWidth="10" defaultRowHeight="15" x14ac:dyDescent="0.25"/>
  <cols>
    <col min="1" max="1" width="37.28515625" bestFit="1" customWidth="1"/>
    <col min="2" max="9" width="12.42578125" bestFit="1" customWidth="1"/>
    <col min="10" max="13" width="13.85546875" bestFit="1" customWidth="1"/>
    <col min="14" max="14" width="15.28515625" bestFit="1" customWidth="1"/>
  </cols>
  <sheetData>
    <row r="1" spans="1:14" ht="18.75" x14ac:dyDescent="0.3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</row>
    <row r="2" spans="1:14" ht="18.75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</row>
    <row r="3" spans="1:14" ht="15.95" customHeight="1" x14ac:dyDescent="0.3">
      <c r="A3" s="272"/>
      <c r="B3" s="525" t="s">
        <v>158</v>
      </c>
      <c r="C3" s="525"/>
      <c r="D3" s="525"/>
      <c r="E3" s="525"/>
      <c r="F3" s="272"/>
      <c r="G3" s="272"/>
      <c r="H3" s="229"/>
      <c r="I3" s="229"/>
      <c r="J3" s="229"/>
      <c r="K3" s="229"/>
      <c r="L3" s="229"/>
      <c r="M3" s="229"/>
      <c r="N3" s="229"/>
    </row>
    <row r="4" spans="1:14" ht="12" customHeight="1" x14ac:dyDescent="0.3">
      <c r="A4" s="272"/>
      <c r="B4" s="272"/>
      <c r="C4" s="272"/>
      <c r="D4" s="272"/>
      <c r="E4" s="272"/>
      <c r="F4" s="272"/>
      <c r="G4" s="272"/>
      <c r="H4" s="229"/>
      <c r="I4" s="229"/>
      <c r="J4" s="229"/>
      <c r="K4" s="229"/>
      <c r="L4" s="229"/>
      <c r="M4" s="229"/>
      <c r="N4" s="229"/>
    </row>
    <row r="5" spans="1:14" ht="21" customHeight="1" x14ac:dyDescent="0.3">
      <c r="A5" s="272"/>
      <c r="B5" s="272"/>
      <c r="C5" s="272"/>
      <c r="D5" s="272"/>
      <c r="E5" s="272"/>
      <c r="F5" s="272"/>
      <c r="G5" s="159" t="s">
        <v>159</v>
      </c>
      <c r="H5" s="229"/>
      <c r="I5" s="229">
        <f>+BASE_INFORMATION!D11</f>
        <v>2025</v>
      </c>
      <c r="J5" s="229"/>
      <c r="K5" s="229"/>
      <c r="L5" s="229"/>
      <c r="M5" s="229"/>
      <c r="N5" s="229"/>
    </row>
    <row r="6" spans="1:14" ht="18.75" x14ac:dyDescent="0.3">
      <c r="A6" s="272"/>
      <c r="B6" s="272"/>
      <c r="C6" s="272"/>
      <c r="D6" s="272"/>
      <c r="E6" s="272"/>
      <c r="F6" s="272"/>
      <c r="G6" s="272"/>
      <c r="H6" s="229"/>
      <c r="I6" s="229"/>
      <c r="J6" s="229"/>
      <c r="K6" s="229"/>
      <c r="L6" s="229"/>
      <c r="M6" s="229"/>
      <c r="N6" s="229"/>
    </row>
    <row r="7" spans="1:14" ht="33" customHeight="1" x14ac:dyDescent="0.25">
      <c r="A7" s="273" t="s">
        <v>160</v>
      </c>
      <c r="B7" s="270" t="s">
        <v>161</v>
      </c>
      <c r="C7" s="270" t="s">
        <v>162</v>
      </c>
      <c r="D7" s="270" t="s">
        <v>163</v>
      </c>
      <c r="E7" s="270" t="s">
        <v>164</v>
      </c>
      <c r="F7" s="270" t="s">
        <v>165</v>
      </c>
      <c r="G7" s="270" t="s">
        <v>166</v>
      </c>
      <c r="H7" s="270" t="s">
        <v>169</v>
      </c>
      <c r="I7" s="270" t="s">
        <v>170</v>
      </c>
      <c r="J7" s="270" t="s">
        <v>171</v>
      </c>
      <c r="K7" s="270" t="s">
        <v>172</v>
      </c>
      <c r="L7" s="270" t="s">
        <v>173</v>
      </c>
      <c r="M7" s="270" t="s">
        <v>174</v>
      </c>
      <c r="N7" s="270" t="s">
        <v>175</v>
      </c>
    </row>
    <row r="8" spans="1:14" ht="35.1" customHeight="1" x14ac:dyDescent="0.25">
      <c r="A8" s="271" t="s">
        <v>290</v>
      </c>
      <c r="B8" s="57">
        <v>2000000</v>
      </c>
      <c r="C8" s="57">
        <f>+B8*1.15</f>
        <v>2300000</v>
      </c>
      <c r="D8" s="57">
        <f t="shared" ref="D8:M8" si="0">+C8*1.15</f>
        <v>2645000</v>
      </c>
      <c r="E8" s="57">
        <f t="shared" si="0"/>
        <v>3041749.9999999995</v>
      </c>
      <c r="F8" s="57">
        <f t="shared" si="0"/>
        <v>3498012.4999999991</v>
      </c>
      <c r="G8" s="57">
        <f t="shared" si="0"/>
        <v>4022714.3749999986</v>
      </c>
      <c r="H8" s="57">
        <f t="shared" si="0"/>
        <v>4626121.5312499981</v>
      </c>
      <c r="I8" s="57">
        <f t="shared" si="0"/>
        <v>5320039.760937497</v>
      </c>
      <c r="J8" s="57">
        <f t="shared" si="0"/>
        <v>6118045.7250781208</v>
      </c>
      <c r="K8" s="57">
        <f t="shared" si="0"/>
        <v>7035752.5838398384</v>
      </c>
      <c r="L8" s="57">
        <f t="shared" si="0"/>
        <v>8091115.4714158131</v>
      </c>
      <c r="M8" s="57">
        <f t="shared" si="0"/>
        <v>9304782.7921281848</v>
      </c>
      <c r="N8" s="61">
        <f>SUM(B8:M8)</f>
        <v>58003334.739649452</v>
      </c>
    </row>
    <row r="9" spans="1:14" ht="39" customHeight="1" x14ac:dyDescent="0.25">
      <c r="A9" s="271" t="s">
        <v>167</v>
      </c>
      <c r="B9" s="57">
        <v>1000000</v>
      </c>
      <c r="C9" s="57">
        <f t="shared" ref="C9:M9" si="1">+B9*1.15</f>
        <v>1150000</v>
      </c>
      <c r="D9" s="57">
        <f t="shared" si="1"/>
        <v>1322500</v>
      </c>
      <c r="E9" s="57">
        <f t="shared" si="1"/>
        <v>1520874.9999999998</v>
      </c>
      <c r="F9" s="57">
        <f t="shared" si="1"/>
        <v>1749006.2499999995</v>
      </c>
      <c r="G9" s="57">
        <f t="shared" si="1"/>
        <v>2011357.1874999993</v>
      </c>
      <c r="H9" s="57">
        <f t="shared" si="1"/>
        <v>2313060.7656249991</v>
      </c>
      <c r="I9" s="57">
        <f t="shared" si="1"/>
        <v>2660019.8804687485</v>
      </c>
      <c r="J9" s="57">
        <f t="shared" si="1"/>
        <v>3059022.8625390604</v>
      </c>
      <c r="K9" s="57">
        <f t="shared" si="1"/>
        <v>3517876.2919199192</v>
      </c>
      <c r="L9" s="57">
        <f t="shared" si="1"/>
        <v>4045557.7357079065</v>
      </c>
      <c r="M9" s="57">
        <f t="shared" si="1"/>
        <v>4652391.3960640924</v>
      </c>
      <c r="N9" s="61">
        <f>SUM(B9:M9)</f>
        <v>29001667.369824726</v>
      </c>
    </row>
    <row r="10" spans="1:14" ht="39" customHeight="1" x14ac:dyDescent="0.25">
      <c r="A10" s="271" t="s">
        <v>168</v>
      </c>
      <c r="B10" s="57">
        <v>500000</v>
      </c>
      <c r="C10" s="57">
        <f t="shared" ref="C10:M10" si="2">+B10*1.15</f>
        <v>575000</v>
      </c>
      <c r="D10" s="57">
        <f t="shared" si="2"/>
        <v>661250</v>
      </c>
      <c r="E10" s="57">
        <f t="shared" si="2"/>
        <v>760437.49999999988</v>
      </c>
      <c r="F10" s="57">
        <f t="shared" si="2"/>
        <v>874503.12499999977</v>
      </c>
      <c r="G10" s="57">
        <f t="shared" si="2"/>
        <v>1005678.5937499997</v>
      </c>
      <c r="H10" s="57">
        <f t="shared" si="2"/>
        <v>1156530.3828124995</v>
      </c>
      <c r="I10" s="57">
        <f t="shared" si="2"/>
        <v>1330009.9402343743</v>
      </c>
      <c r="J10" s="57">
        <f t="shared" si="2"/>
        <v>1529511.4312695302</v>
      </c>
      <c r="K10" s="57">
        <f t="shared" si="2"/>
        <v>1758938.1459599596</v>
      </c>
      <c r="L10" s="57">
        <f t="shared" si="2"/>
        <v>2022778.8678539533</v>
      </c>
      <c r="M10" s="57">
        <f t="shared" si="2"/>
        <v>2326195.6980320462</v>
      </c>
      <c r="N10" s="61">
        <f>SUM(B10:M10)</f>
        <v>14500833.684912363</v>
      </c>
    </row>
    <row r="11" spans="1:14" ht="42" customHeight="1" x14ac:dyDescent="0.25">
      <c r="A11" s="58" t="s">
        <v>45</v>
      </c>
      <c r="B11" s="59">
        <f t="shared" ref="B11:M11" si="3">SUM(B8:B10)</f>
        <v>3500000</v>
      </c>
      <c r="C11" s="59">
        <f t="shared" si="3"/>
        <v>4025000</v>
      </c>
      <c r="D11" s="59">
        <f t="shared" si="3"/>
        <v>4628750</v>
      </c>
      <c r="E11" s="59">
        <f t="shared" si="3"/>
        <v>5323062.4999999991</v>
      </c>
      <c r="F11" s="59">
        <f t="shared" si="3"/>
        <v>6121521.8749999981</v>
      </c>
      <c r="G11" s="59">
        <f t="shared" si="3"/>
        <v>7039750.1562499981</v>
      </c>
      <c r="H11" s="62">
        <f t="shared" si="3"/>
        <v>8095712.6796874963</v>
      </c>
      <c r="I11" s="62">
        <f t="shared" si="3"/>
        <v>9310069.5816406198</v>
      </c>
      <c r="J11" s="62">
        <f t="shared" si="3"/>
        <v>10706580.018886711</v>
      </c>
      <c r="K11" s="62">
        <f t="shared" si="3"/>
        <v>12312567.021719718</v>
      </c>
      <c r="L11" s="62">
        <f t="shared" si="3"/>
        <v>14159452.074977672</v>
      </c>
      <c r="M11" s="62">
        <f t="shared" si="3"/>
        <v>16283369.886224324</v>
      </c>
      <c r="N11" s="61">
        <f>SUM(B11:M11)</f>
        <v>101505835.79438655</v>
      </c>
    </row>
    <row r="16" spans="1:14" x14ac:dyDescent="0.25">
      <c r="C16" t="s">
        <v>47</v>
      </c>
    </row>
  </sheetData>
  <mergeCells count="1">
    <mergeCell ref="B3:E3"/>
  </mergeCells>
  <pageMargins left="0.70000000000000007" right="0.70000000000000007" top="0.75" bottom="0.75" header="0.30000000000000004" footer="0.30000000000000004"/>
  <pageSetup paperSize="9" scale="74" fitToWidth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8:C18"/>
  <sheetViews>
    <sheetView showGridLines="0" view="pageBreakPreview" zoomScale="96" zoomScaleNormal="100" zoomScaleSheetLayoutView="96" workbookViewId="0">
      <selection activeCell="C18" sqref="C18"/>
    </sheetView>
  </sheetViews>
  <sheetFormatPr baseColWidth="10" defaultRowHeight="15" x14ac:dyDescent="0.25"/>
  <cols>
    <col min="1" max="1" width="16.85546875" customWidth="1"/>
    <col min="2" max="2" width="19.140625" customWidth="1"/>
    <col min="3" max="3" width="11.42578125" customWidth="1"/>
  </cols>
  <sheetData>
    <row r="18" spans="1:3" ht="23.25" x14ac:dyDescent="0.35">
      <c r="A18" s="401" t="s">
        <v>176</v>
      </c>
      <c r="B18" s="401"/>
      <c r="C18" s="54">
        <f>+BASE_INFORMATION!D11</f>
        <v>2025</v>
      </c>
    </row>
  </sheetData>
  <mergeCells count="1">
    <mergeCell ref="A18:B18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0"/>
  <sheetViews>
    <sheetView showGridLines="0" topLeftCell="A6" zoomScaleNormal="100" workbookViewId="0">
      <selection activeCell="O27" sqref="O27:O28"/>
    </sheetView>
  </sheetViews>
  <sheetFormatPr baseColWidth="10" defaultRowHeight="15" x14ac:dyDescent="0.25"/>
  <cols>
    <col min="1" max="1" width="30.140625" customWidth="1"/>
    <col min="2" max="2" width="11.42578125" customWidth="1"/>
    <col min="3" max="3" width="11.28515625" customWidth="1"/>
    <col min="4" max="5" width="11.42578125" customWidth="1"/>
    <col min="6" max="6" width="12.42578125" customWidth="1"/>
    <col min="7" max="7" width="14.85546875" customWidth="1"/>
    <col min="8" max="8" width="11.42578125" customWidth="1"/>
  </cols>
  <sheetData>
    <row r="1" spans="1:15" x14ac:dyDescent="0.25">
      <c r="A1" s="55"/>
      <c r="B1" s="55"/>
      <c r="C1" s="55"/>
      <c r="D1" s="55"/>
      <c r="E1" s="55"/>
      <c r="F1" s="55"/>
      <c r="G1" s="55"/>
      <c r="H1" s="55"/>
    </row>
    <row r="2" spans="1:15" ht="15.75" x14ac:dyDescent="0.25">
      <c r="A2" s="63"/>
      <c r="B2" s="64"/>
      <c r="C2" s="402" t="s">
        <v>177</v>
      </c>
      <c r="D2" s="402"/>
      <c r="E2" s="402"/>
      <c r="F2" s="64"/>
      <c r="G2" s="64"/>
      <c r="H2" s="55"/>
    </row>
    <row r="3" spans="1:15" ht="15.75" x14ac:dyDescent="0.25">
      <c r="A3" s="64"/>
      <c r="B3" s="64"/>
      <c r="C3" s="64"/>
      <c r="D3" s="64"/>
      <c r="E3" s="64"/>
      <c r="F3" s="64"/>
      <c r="G3" s="64"/>
      <c r="H3" s="55"/>
    </row>
    <row r="4" spans="1:15" ht="15.75" x14ac:dyDescent="0.25">
      <c r="A4" s="64"/>
      <c r="B4" s="64"/>
      <c r="C4" s="64"/>
      <c r="D4" s="64"/>
      <c r="E4" s="64"/>
      <c r="F4" s="64"/>
      <c r="G4" s="64" t="s">
        <v>159</v>
      </c>
      <c r="H4" s="55"/>
    </row>
    <row r="5" spans="1:15" ht="15.75" x14ac:dyDescent="0.25">
      <c r="A5" s="64"/>
      <c r="B5" s="64"/>
      <c r="C5" s="64"/>
      <c r="D5" s="64"/>
      <c r="E5" s="64"/>
      <c r="F5" s="64"/>
      <c r="G5" s="64"/>
      <c r="H5" s="55"/>
    </row>
    <row r="6" spans="1:15" ht="15.75" x14ac:dyDescent="0.25">
      <c r="A6" s="65" t="s">
        <v>160</v>
      </c>
      <c r="B6" s="66" t="s">
        <v>161</v>
      </c>
      <c r="C6" s="66" t="s">
        <v>162</v>
      </c>
      <c r="D6" s="66" t="s">
        <v>163</v>
      </c>
      <c r="E6" s="66" t="s">
        <v>178</v>
      </c>
      <c r="F6" s="66" t="s">
        <v>165</v>
      </c>
      <c r="G6" s="66" t="s">
        <v>166</v>
      </c>
      <c r="H6" s="76" t="s">
        <v>169</v>
      </c>
      <c r="I6" s="76" t="s">
        <v>170</v>
      </c>
      <c r="J6" s="76" t="s">
        <v>171</v>
      </c>
      <c r="K6" s="76" t="s">
        <v>172</v>
      </c>
      <c r="L6" s="76" t="s">
        <v>173</v>
      </c>
      <c r="M6" s="76" t="s">
        <v>174</v>
      </c>
      <c r="N6" s="76" t="s">
        <v>24</v>
      </c>
    </row>
    <row r="7" spans="1:15" ht="15.75" x14ac:dyDescent="0.25">
      <c r="A7" s="403" t="s">
        <v>179</v>
      </c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405"/>
      <c r="N7" s="274"/>
    </row>
    <row r="8" spans="1:15" ht="15.75" x14ac:dyDescent="0.25">
      <c r="A8" s="67" t="s">
        <v>180</v>
      </c>
      <c r="B8" s="28">
        <v>50000</v>
      </c>
      <c r="C8" s="28">
        <f>+B8*1.15</f>
        <v>57499.999999999993</v>
      </c>
      <c r="D8" s="28">
        <f t="shared" ref="D8:M8" si="0">+C8*1.15</f>
        <v>66124.999999999985</v>
      </c>
      <c r="E8" s="28">
        <f t="shared" si="0"/>
        <v>76043.749999999971</v>
      </c>
      <c r="F8" s="28">
        <f t="shared" si="0"/>
        <v>87450.312499999956</v>
      </c>
      <c r="G8" s="28">
        <f t="shared" si="0"/>
        <v>100567.85937499994</v>
      </c>
      <c r="H8" s="28">
        <f t="shared" si="0"/>
        <v>115653.03828124993</v>
      </c>
      <c r="I8" s="28">
        <f t="shared" si="0"/>
        <v>133000.99402343741</v>
      </c>
      <c r="J8" s="28">
        <f t="shared" si="0"/>
        <v>152951.14312695301</v>
      </c>
      <c r="K8" s="28">
        <f t="shared" si="0"/>
        <v>175893.81459599597</v>
      </c>
      <c r="L8" s="28">
        <f t="shared" si="0"/>
        <v>202277.88678539536</v>
      </c>
      <c r="M8" s="28">
        <f t="shared" si="0"/>
        <v>232619.56980320465</v>
      </c>
      <c r="N8" s="68">
        <f t="shared" ref="N8:N14" si="1">SUM(B8:M8)</f>
        <v>1450083.3684912361</v>
      </c>
      <c r="O8">
        <v>235000</v>
      </c>
    </row>
    <row r="9" spans="1:15" ht="15.75" x14ac:dyDescent="0.25">
      <c r="A9" s="67" t="s">
        <v>181</v>
      </c>
      <c r="B9" s="28">
        <v>15000</v>
      </c>
      <c r="C9" s="28">
        <f t="shared" ref="C9:M9" si="2">+B9*1.15</f>
        <v>17250</v>
      </c>
      <c r="D9" s="28">
        <f t="shared" si="2"/>
        <v>19837.5</v>
      </c>
      <c r="E9" s="28">
        <f t="shared" si="2"/>
        <v>22813.125</v>
      </c>
      <c r="F9" s="28">
        <f t="shared" si="2"/>
        <v>26235.093749999996</v>
      </c>
      <c r="G9" s="28">
        <f t="shared" si="2"/>
        <v>30170.357812499995</v>
      </c>
      <c r="H9" s="28">
        <f t="shared" si="2"/>
        <v>34695.911484374992</v>
      </c>
      <c r="I9" s="28">
        <f t="shared" si="2"/>
        <v>39900.298207031236</v>
      </c>
      <c r="J9" s="28">
        <f t="shared" si="2"/>
        <v>45885.342938085916</v>
      </c>
      <c r="K9" s="28">
        <f t="shared" si="2"/>
        <v>52768.144378798803</v>
      </c>
      <c r="L9" s="28">
        <f t="shared" si="2"/>
        <v>60683.366035618616</v>
      </c>
      <c r="M9" s="28">
        <f t="shared" si="2"/>
        <v>69785.870940961409</v>
      </c>
      <c r="N9" s="68">
        <f t="shared" si="1"/>
        <v>435025.010547371</v>
      </c>
      <c r="O9">
        <v>70000</v>
      </c>
    </row>
    <row r="10" spans="1:15" ht="15.75" x14ac:dyDescent="0.25">
      <c r="A10" s="67" t="s">
        <v>182</v>
      </c>
      <c r="B10" s="28">
        <v>10000</v>
      </c>
      <c r="C10" s="28">
        <f t="shared" ref="C10:M10" si="3">+B10*1.15</f>
        <v>11500</v>
      </c>
      <c r="D10" s="28">
        <f t="shared" si="3"/>
        <v>13224.999999999998</v>
      </c>
      <c r="E10" s="28">
        <f t="shared" si="3"/>
        <v>15208.749999999996</v>
      </c>
      <c r="F10" s="28">
        <f t="shared" si="3"/>
        <v>17490.062499999993</v>
      </c>
      <c r="G10" s="28">
        <f t="shared" si="3"/>
        <v>20113.571874999991</v>
      </c>
      <c r="H10" s="28">
        <f t="shared" si="3"/>
        <v>23130.607656249987</v>
      </c>
      <c r="I10" s="28">
        <f t="shared" si="3"/>
        <v>26600.198804687483</v>
      </c>
      <c r="J10" s="28">
        <f t="shared" si="3"/>
        <v>30590.228625390602</v>
      </c>
      <c r="K10" s="28">
        <f t="shared" si="3"/>
        <v>35178.762919199187</v>
      </c>
      <c r="L10" s="28">
        <f t="shared" si="3"/>
        <v>40455.577357079062</v>
      </c>
      <c r="M10" s="28">
        <f t="shared" si="3"/>
        <v>46523.913960640915</v>
      </c>
      <c r="N10" s="68">
        <f t="shared" si="1"/>
        <v>290016.67369824718</v>
      </c>
      <c r="O10">
        <v>47000</v>
      </c>
    </row>
    <row r="11" spans="1:15" ht="15.75" x14ac:dyDescent="0.25">
      <c r="A11" s="67" t="s">
        <v>183</v>
      </c>
      <c r="B11" s="28">
        <v>20000</v>
      </c>
      <c r="C11" s="28">
        <f t="shared" ref="C11:M11" si="4">+B11*1.15</f>
        <v>23000</v>
      </c>
      <c r="D11" s="28">
        <f t="shared" si="4"/>
        <v>26449.999999999996</v>
      </c>
      <c r="E11" s="28">
        <f t="shared" si="4"/>
        <v>30417.499999999993</v>
      </c>
      <c r="F11" s="28">
        <f t="shared" si="4"/>
        <v>34980.124999999985</v>
      </c>
      <c r="G11" s="28">
        <f t="shared" si="4"/>
        <v>40227.143749999981</v>
      </c>
      <c r="H11" s="28">
        <f t="shared" si="4"/>
        <v>46261.215312499975</v>
      </c>
      <c r="I11" s="28">
        <f t="shared" si="4"/>
        <v>53200.397609374966</v>
      </c>
      <c r="J11" s="28">
        <f t="shared" si="4"/>
        <v>61180.457250781204</v>
      </c>
      <c r="K11" s="28">
        <f t="shared" si="4"/>
        <v>70357.525838398375</v>
      </c>
      <c r="L11" s="28">
        <f t="shared" si="4"/>
        <v>80911.154714158125</v>
      </c>
      <c r="M11" s="28">
        <f t="shared" si="4"/>
        <v>93047.827921281831</v>
      </c>
      <c r="N11" s="68">
        <f t="shared" si="1"/>
        <v>580033.34739649436</v>
      </c>
      <c r="O11">
        <v>94000</v>
      </c>
    </row>
    <row r="12" spans="1:15" ht="15.75" x14ac:dyDescent="0.25">
      <c r="A12" s="67" t="s">
        <v>184</v>
      </c>
      <c r="B12" s="28">
        <v>5000</v>
      </c>
      <c r="C12" s="28">
        <f t="shared" ref="C12:M12" si="5">+B12*1.15</f>
        <v>5750</v>
      </c>
      <c r="D12" s="28">
        <f t="shared" si="5"/>
        <v>6612.4999999999991</v>
      </c>
      <c r="E12" s="28">
        <f t="shared" si="5"/>
        <v>7604.3749999999982</v>
      </c>
      <c r="F12" s="28">
        <f t="shared" si="5"/>
        <v>8745.0312499999964</v>
      </c>
      <c r="G12" s="28">
        <f t="shared" si="5"/>
        <v>10056.785937499995</v>
      </c>
      <c r="H12" s="28">
        <f t="shared" si="5"/>
        <v>11565.303828124994</v>
      </c>
      <c r="I12" s="28">
        <f t="shared" si="5"/>
        <v>13300.099402343742</v>
      </c>
      <c r="J12" s="28">
        <f t="shared" si="5"/>
        <v>15295.114312695301</v>
      </c>
      <c r="K12" s="28">
        <f t="shared" si="5"/>
        <v>17589.381459599594</v>
      </c>
      <c r="L12" s="28">
        <f t="shared" si="5"/>
        <v>20227.788678539531</v>
      </c>
      <c r="M12" s="28">
        <f t="shared" si="5"/>
        <v>23261.956980320458</v>
      </c>
      <c r="N12" s="68">
        <f t="shared" si="1"/>
        <v>145008.33684912359</v>
      </c>
      <c r="O12">
        <v>24000</v>
      </c>
    </row>
    <row r="13" spans="1:15" ht="15.75" x14ac:dyDescent="0.25">
      <c r="A13" s="67" t="s">
        <v>185</v>
      </c>
      <c r="B13" s="28">
        <v>15000</v>
      </c>
      <c r="C13" s="28">
        <f t="shared" ref="C13:M13" si="6">+B13*1.15</f>
        <v>17250</v>
      </c>
      <c r="D13" s="28">
        <f t="shared" si="6"/>
        <v>19837.5</v>
      </c>
      <c r="E13" s="28">
        <f t="shared" si="6"/>
        <v>22813.125</v>
      </c>
      <c r="F13" s="28">
        <f t="shared" si="6"/>
        <v>26235.093749999996</v>
      </c>
      <c r="G13" s="28">
        <f t="shared" si="6"/>
        <v>30170.357812499995</v>
      </c>
      <c r="H13" s="28">
        <f t="shared" si="6"/>
        <v>34695.911484374992</v>
      </c>
      <c r="I13" s="28">
        <f t="shared" si="6"/>
        <v>39900.298207031236</v>
      </c>
      <c r="J13" s="28">
        <f t="shared" si="6"/>
        <v>45885.342938085916</v>
      </c>
      <c r="K13" s="28">
        <f t="shared" si="6"/>
        <v>52768.144378798803</v>
      </c>
      <c r="L13" s="28">
        <f t="shared" si="6"/>
        <v>60683.366035618616</v>
      </c>
      <c r="M13" s="28">
        <f t="shared" si="6"/>
        <v>69785.870940961409</v>
      </c>
      <c r="N13" s="68">
        <f t="shared" si="1"/>
        <v>435025.010547371</v>
      </c>
      <c r="O13">
        <v>70000</v>
      </c>
    </row>
    <row r="14" spans="1:15" ht="15.75" x14ac:dyDescent="0.25">
      <c r="A14" s="69" t="s">
        <v>186</v>
      </c>
      <c r="B14" s="70">
        <f t="shared" ref="B14:M14" si="7">SUM(B8:B13)</f>
        <v>115000</v>
      </c>
      <c r="C14" s="70">
        <f t="shared" si="7"/>
        <v>132250</v>
      </c>
      <c r="D14" s="70">
        <f t="shared" si="7"/>
        <v>152087.49999999997</v>
      </c>
      <c r="E14" s="70">
        <f t="shared" si="7"/>
        <v>174900.62499999997</v>
      </c>
      <c r="F14" s="70">
        <f t="shared" si="7"/>
        <v>201135.71874999994</v>
      </c>
      <c r="G14" s="70">
        <f t="shared" si="7"/>
        <v>231306.07656249989</v>
      </c>
      <c r="H14" s="27">
        <f t="shared" si="7"/>
        <v>266001.98804687487</v>
      </c>
      <c r="I14" s="27">
        <f t="shared" si="7"/>
        <v>305902.28625390603</v>
      </c>
      <c r="J14" s="27">
        <f t="shared" si="7"/>
        <v>351787.62919199193</v>
      </c>
      <c r="K14" s="27">
        <f t="shared" si="7"/>
        <v>404555.77357079071</v>
      </c>
      <c r="L14" s="27">
        <f t="shared" si="7"/>
        <v>465239.13960640936</v>
      </c>
      <c r="M14" s="27">
        <f t="shared" si="7"/>
        <v>535025.01054737065</v>
      </c>
      <c r="N14" s="68">
        <f t="shared" si="1"/>
        <v>3335191.7475298434</v>
      </c>
    </row>
    <row r="15" spans="1:15" ht="15.75" x14ac:dyDescent="0.25">
      <c r="A15" s="406" t="s">
        <v>187</v>
      </c>
      <c r="B15" s="407"/>
      <c r="C15" s="407"/>
      <c r="D15" s="407"/>
      <c r="E15" s="407"/>
      <c r="F15" s="407"/>
      <c r="G15" s="407"/>
      <c r="H15" s="407"/>
      <c r="I15" s="407"/>
      <c r="J15" s="407"/>
      <c r="K15" s="407"/>
      <c r="L15" s="407"/>
      <c r="M15" s="408"/>
      <c r="N15" s="68"/>
    </row>
    <row r="16" spans="1:15" ht="15.75" x14ac:dyDescent="0.25">
      <c r="A16" s="71" t="s">
        <v>188</v>
      </c>
      <c r="B16" s="28">
        <v>125000</v>
      </c>
      <c r="C16" s="28">
        <f>+B16*1.15</f>
        <v>143750</v>
      </c>
      <c r="D16" s="28">
        <f t="shared" ref="D16:M16" si="8">+C16*1.15</f>
        <v>165312.5</v>
      </c>
      <c r="E16" s="28">
        <f t="shared" si="8"/>
        <v>190109.37499999997</v>
      </c>
      <c r="F16" s="28">
        <f t="shared" si="8"/>
        <v>218625.78124999994</v>
      </c>
      <c r="G16" s="28">
        <f t="shared" si="8"/>
        <v>251419.64843749991</v>
      </c>
      <c r="H16" s="28">
        <f t="shared" si="8"/>
        <v>289132.59570312488</v>
      </c>
      <c r="I16" s="28">
        <f t="shared" si="8"/>
        <v>332502.48505859356</v>
      </c>
      <c r="J16" s="28">
        <f t="shared" si="8"/>
        <v>382377.85781738255</v>
      </c>
      <c r="K16" s="28">
        <f t="shared" si="8"/>
        <v>439734.5364899899</v>
      </c>
      <c r="L16" s="28">
        <f t="shared" si="8"/>
        <v>505694.71696348832</v>
      </c>
      <c r="M16" s="28">
        <f t="shared" si="8"/>
        <v>581548.92450801155</v>
      </c>
      <c r="N16" s="68">
        <f>SUM(B16:M16)</f>
        <v>3625208.4212280908</v>
      </c>
      <c r="O16">
        <v>582000</v>
      </c>
    </row>
    <row r="17" spans="1:15" ht="15.75" x14ac:dyDescent="0.25">
      <c r="A17" s="71" t="s">
        <v>189</v>
      </c>
      <c r="B17" s="28">
        <v>25000</v>
      </c>
      <c r="C17" s="28">
        <f t="shared" ref="C17:M17" si="9">+B17*1.15</f>
        <v>28749.999999999996</v>
      </c>
      <c r="D17" s="28">
        <f t="shared" si="9"/>
        <v>33062.499999999993</v>
      </c>
      <c r="E17" s="28">
        <f t="shared" si="9"/>
        <v>38021.874999999985</v>
      </c>
      <c r="F17" s="28">
        <f t="shared" si="9"/>
        <v>43725.156249999978</v>
      </c>
      <c r="G17" s="28">
        <f t="shared" si="9"/>
        <v>50283.929687499971</v>
      </c>
      <c r="H17" s="28">
        <f t="shared" si="9"/>
        <v>57826.519140624965</v>
      </c>
      <c r="I17" s="28">
        <f t="shared" si="9"/>
        <v>66500.497011718704</v>
      </c>
      <c r="J17" s="28">
        <f t="shared" si="9"/>
        <v>76475.571563476507</v>
      </c>
      <c r="K17" s="28">
        <f t="shared" si="9"/>
        <v>87946.907297997983</v>
      </c>
      <c r="L17" s="28">
        <f t="shared" si="9"/>
        <v>101138.94339269768</v>
      </c>
      <c r="M17" s="28">
        <f t="shared" si="9"/>
        <v>116309.78490160232</v>
      </c>
      <c r="N17" s="68">
        <f>SUM(B17:M17)</f>
        <v>725041.68424561806</v>
      </c>
      <c r="O17">
        <v>117000</v>
      </c>
    </row>
    <row r="18" spans="1:15" ht="15.75" x14ac:dyDescent="0.25">
      <c r="A18" s="71" t="s">
        <v>190</v>
      </c>
      <c r="B18" s="28">
        <v>45000</v>
      </c>
      <c r="C18" s="28">
        <f t="shared" ref="C18:M18" si="10">+B18*1.15</f>
        <v>51749.999999999993</v>
      </c>
      <c r="D18" s="28">
        <f t="shared" si="10"/>
        <v>59512.499999999985</v>
      </c>
      <c r="E18" s="28">
        <f t="shared" si="10"/>
        <v>68439.374999999971</v>
      </c>
      <c r="F18" s="28">
        <f t="shared" si="10"/>
        <v>78705.281249999956</v>
      </c>
      <c r="G18" s="28">
        <f t="shared" si="10"/>
        <v>90511.073437499945</v>
      </c>
      <c r="H18" s="28">
        <f t="shared" si="10"/>
        <v>104087.73445312493</v>
      </c>
      <c r="I18" s="28">
        <f t="shared" si="10"/>
        <v>119700.89462109366</v>
      </c>
      <c r="J18" s="28">
        <f t="shared" si="10"/>
        <v>137656.0288142577</v>
      </c>
      <c r="K18" s="28">
        <f t="shared" si="10"/>
        <v>158304.43313639634</v>
      </c>
      <c r="L18" s="28">
        <f t="shared" si="10"/>
        <v>182050.09810685579</v>
      </c>
      <c r="M18" s="28">
        <f t="shared" si="10"/>
        <v>209357.61282288414</v>
      </c>
      <c r="N18" s="68">
        <f>SUM(B18:M18)</f>
        <v>1305075.0316421126</v>
      </c>
      <c r="O18">
        <v>210000</v>
      </c>
    </row>
    <row r="19" spans="1:15" ht="15.75" x14ac:dyDescent="0.25">
      <c r="A19" s="71" t="s">
        <v>191</v>
      </c>
      <c r="B19" s="28">
        <v>15000</v>
      </c>
      <c r="C19" s="28">
        <f t="shared" ref="C19:M19" si="11">+B19*1.15</f>
        <v>17250</v>
      </c>
      <c r="D19" s="28">
        <f t="shared" si="11"/>
        <v>19837.5</v>
      </c>
      <c r="E19" s="28">
        <f t="shared" si="11"/>
        <v>22813.125</v>
      </c>
      <c r="F19" s="28">
        <f t="shared" si="11"/>
        <v>26235.093749999996</v>
      </c>
      <c r="G19" s="28">
        <f t="shared" si="11"/>
        <v>30170.357812499995</v>
      </c>
      <c r="H19" s="28">
        <f t="shared" si="11"/>
        <v>34695.911484374992</v>
      </c>
      <c r="I19" s="28">
        <f t="shared" si="11"/>
        <v>39900.298207031236</v>
      </c>
      <c r="J19" s="28">
        <f t="shared" si="11"/>
        <v>45885.342938085916</v>
      </c>
      <c r="K19" s="28">
        <f t="shared" si="11"/>
        <v>52768.144378798803</v>
      </c>
      <c r="L19" s="28">
        <f t="shared" si="11"/>
        <v>60683.366035618616</v>
      </c>
      <c r="M19" s="28">
        <f t="shared" si="11"/>
        <v>69785.870940961409</v>
      </c>
      <c r="N19" s="68">
        <f>SUM(B19:M19)</f>
        <v>435025.010547371</v>
      </c>
      <c r="O19">
        <v>70000</v>
      </c>
    </row>
    <row r="20" spans="1:15" ht="15.75" x14ac:dyDescent="0.25">
      <c r="A20" s="72" t="s">
        <v>192</v>
      </c>
      <c r="B20" s="27">
        <f t="shared" ref="B20:M20" si="12">SUM(B16:B19)</f>
        <v>210000</v>
      </c>
      <c r="C20" s="27">
        <f t="shared" si="12"/>
        <v>241500</v>
      </c>
      <c r="D20" s="27">
        <f t="shared" si="12"/>
        <v>277725</v>
      </c>
      <c r="E20" s="27">
        <f t="shared" si="12"/>
        <v>319383.74999999988</v>
      </c>
      <c r="F20" s="27">
        <f t="shared" si="12"/>
        <v>367291.31249999988</v>
      </c>
      <c r="G20" s="27">
        <f t="shared" si="12"/>
        <v>422385.00937499979</v>
      </c>
      <c r="H20" s="27">
        <f t="shared" si="12"/>
        <v>485742.76078124979</v>
      </c>
      <c r="I20" s="27">
        <f t="shared" si="12"/>
        <v>558604.17489843711</v>
      </c>
      <c r="J20" s="27">
        <f t="shared" si="12"/>
        <v>642394.80113320274</v>
      </c>
      <c r="K20" s="27">
        <f t="shared" si="12"/>
        <v>738754.02130318305</v>
      </c>
      <c r="L20" s="27">
        <f t="shared" si="12"/>
        <v>849567.12449866033</v>
      </c>
      <c r="M20" s="27">
        <f t="shared" si="12"/>
        <v>977002.19317345938</v>
      </c>
      <c r="N20" s="68">
        <f>SUM(B20:M20)</f>
        <v>6090350.1476631938</v>
      </c>
    </row>
    <row r="21" spans="1:15" ht="15.75" x14ac:dyDescent="0.25">
      <c r="A21" s="409" t="s">
        <v>193</v>
      </c>
      <c r="B21" s="410"/>
      <c r="C21" s="410"/>
      <c r="D21" s="410"/>
      <c r="E21" s="410"/>
      <c r="F21" s="410"/>
      <c r="G21" s="410"/>
      <c r="H21" s="410"/>
      <c r="I21" s="410"/>
      <c r="J21" s="410"/>
      <c r="K21" s="410"/>
      <c r="L21" s="410"/>
      <c r="M21" s="411"/>
      <c r="N21" s="68"/>
    </row>
    <row r="22" spans="1:15" ht="15.75" x14ac:dyDescent="0.25">
      <c r="A22" s="71" t="s">
        <v>194</v>
      </c>
      <c r="B22" s="28">
        <v>400000</v>
      </c>
      <c r="C22" s="28">
        <f>+B22*1.15</f>
        <v>459999.99999999994</v>
      </c>
      <c r="D22" s="28">
        <f t="shared" ref="D22:M22" si="13">+C22*1.15</f>
        <v>528999.99999999988</v>
      </c>
      <c r="E22" s="28">
        <f t="shared" si="13"/>
        <v>608349.99999999977</v>
      </c>
      <c r="F22" s="28">
        <f t="shared" si="13"/>
        <v>699602.49999999965</v>
      </c>
      <c r="G22" s="28">
        <f t="shared" si="13"/>
        <v>804542.87499999953</v>
      </c>
      <c r="H22" s="28">
        <f t="shared" si="13"/>
        <v>925224.30624999944</v>
      </c>
      <c r="I22" s="28">
        <f t="shared" si="13"/>
        <v>1064007.9521874993</v>
      </c>
      <c r="J22" s="28">
        <f t="shared" si="13"/>
        <v>1223609.1450156241</v>
      </c>
      <c r="K22" s="28">
        <f t="shared" si="13"/>
        <v>1407150.5167679677</v>
      </c>
      <c r="L22" s="28">
        <f t="shared" si="13"/>
        <v>1618223.0942831628</v>
      </c>
      <c r="M22" s="28">
        <f t="shared" si="13"/>
        <v>1860956.5584256372</v>
      </c>
      <c r="N22" s="68">
        <f t="shared" ref="N22:N30" si="14">SUM(B22:M22)</f>
        <v>11600666.947929889</v>
      </c>
      <c r="O22">
        <v>1970000</v>
      </c>
    </row>
    <row r="23" spans="1:15" ht="15.75" x14ac:dyDescent="0.25">
      <c r="A23" s="71" t="s">
        <v>195</v>
      </c>
      <c r="B23" s="28">
        <v>15000</v>
      </c>
      <c r="C23" s="28">
        <f t="shared" ref="C23:M23" si="15">+B23*1.15</f>
        <v>17250</v>
      </c>
      <c r="D23" s="28">
        <f t="shared" si="15"/>
        <v>19837.5</v>
      </c>
      <c r="E23" s="28">
        <f t="shared" si="15"/>
        <v>22813.125</v>
      </c>
      <c r="F23" s="28">
        <f t="shared" si="15"/>
        <v>26235.093749999996</v>
      </c>
      <c r="G23" s="28">
        <f t="shared" si="15"/>
        <v>30170.357812499995</v>
      </c>
      <c r="H23" s="28">
        <f t="shared" si="15"/>
        <v>34695.911484374992</v>
      </c>
      <c r="I23" s="28">
        <f t="shared" si="15"/>
        <v>39900.298207031236</v>
      </c>
      <c r="J23" s="28">
        <f t="shared" si="15"/>
        <v>45885.342938085916</v>
      </c>
      <c r="K23" s="28">
        <f t="shared" si="15"/>
        <v>52768.144378798803</v>
      </c>
      <c r="L23" s="28">
        <f t="shared" si="15"/>
        <v>60683.366035618616</v>
      </c>
      <c r="M23" s="28">
        <f t="shared" si="15"/>
        <v>69785.870940961409</v>
      </c>
      <c r="N23" s="68">
        <f t="shared" si="14"/>
        <v>435025.010547371</v>
      </c>
      <c r="O23">
        <v>70000</v>
      </c>
    </row>
    <row r="24" spans="1:15" ht="15.75" x14ac:dyDescent="0.25">
      <c r="A24" s="71" t="s">
        <v>196</v>
      </c>
      <c r="B24" s="28">
        <v>25000</v>
      </c>
      <c r="C24" s="28">
        <f t="shared" ref="C24:M24" si="16">+B24*1.15</f>
        <v>28749.999999999996</v>
      </c>
      <c r="D24" s="28">
        <f t="shared" si="16"/>
        <v>33062.499999999993</v>
      </c>
      <c r="E24" s="28">
        <f t="shared" si="16"/>
        <v>38021.874999999985</v>
      </c>
      <c r="F24" s="28">
        <f t="shared" si="16"/>
        <v>43725.156249999978</v>
      </c>
      <c r="G24" s="28">
        <f t="shared" si="16"/>
        <v>50283.929687499971</v>
      </c>
      <c r="H24" s="28">
        <f t="shared" si="16"/>
        <v>57826.519140624965</v>
      </c>
      <c r="I24" s="28">
        <f t="shared" si="16"/>
        <v>66500.497011718704</v>
      </c>
      <c r="J24" s="28">
        <f t="shared" si="16"/>
        <v>76475.571563476507</v>
      </c>
      <c r="K24" s="28">
        <f t="shared" si="16"/>
        <v>87946.907297997983</v>
      </c>
      <c r="L24" s="28">
        <f t="shared" si="16"/>
        <v>101138.94339269768</v>
      </c>
      <c r="M24" s="28">
        <f t="shared" si="16"/>
        <v>116309.78490160232</v>
      </c>
      <c r="N24" s="68">
        <f t="shared" si="14"/>
        <v>725041.68424561806</v>
      </c>
      <c r="O24">
        <v>117000</v>
      </c>
    </row>
    <row r="25" spans="1:15" ht="15.75" x14ac:dyDescent="0.25">
      <c r="A25" s="72" t="s">
        <v>197</v>
      </c>
      <c r="B25" s="27">
        <f t="shared" ref="B25:M25" si="17">SUM(B22:B24)</f>
        <v>440000</v>
      </c>
      <c r="C25" s="27">
        <f t="shared" si="17"/>
        <v>505999.99999999994</v>
      </c>
      <c r="D25" s="27">
        <f t="shared" si="17"/>
        <v>581899.99999999988</v>
      </c>
      <c r="E25" s="27">
        <f t="shared" si="17"/>
        <v>669184.99999999977</v>
      </c>
      <c r="F25" s="27">
        <f t="shared" si="17"/>
        <v>769562.74999999965</v>
      </c>
      <c r="G25" s="27">
        <f t="shared" si="17"/>
        <v>884997.16249999951</v>
      </c>
      <c r="H25" s="27">
        <f t="shared" si="17"/>
        <v>1017746.7368749995</v>
      </c>
      <c r="I25" s="27">
        <f t="shared" si="17"/>
        <v>1170408.7474062494</v>
      </c>
      <c r="J25" s="27">
        <f t="shared" si="17"/>
        <v>1345970.0595171866</v>
      </c>
      <c r="K25" s="27">
        <f t="shared" si="17"/>
        <v>1547865.5684447645</v>
      </c>
      <c r="L25" s="27">
        <f t="shared" si="17"/>
        <v>1780045.4037114792</v>
      </c>
      <c r="M25" s="27">
        <f t="shared" si="17"/>
        <v>2047052.214268201</v>
      </c>
      <c r="N25" s="68">
        <f t="shared" si="14"/>
        <v>12760733.642722879</v>
      </c>
    </row>
    <row r="26" spans="1:15" ht="15.75" x14ac:dyDescent="0.25">
      <c r="A26" s="409" t="s">
        <v>198</v>
      </c>
      <c r="B26" s="410"/>
      <c r="C26" s="410"/>
      <c r="D26" s="410"/>
      <c r="E26" s="410"/>
      <c r="F26" s="410"/>
      <c r="G26" s="410"/>
      <c r="H26" s="410"/>
      <c r="I26" s="410"/>
      <c r="J26" s="410"/>
      <c r="K26" s="410"/>
      <c r="L26" s="410"/>
      <c r="M26" s="411"/>
      <c r="N26" s="68">
        <f t="shared" si="14"/>
        <v>0</v>
      </c>
    </row>
    <row r="27" spans="1:15" ht="15.75" x14ac:dyDescent="0.25">
      <c r="A27" s="71" t="s">
        <v>199</v>
      </c>
      <c r="B27" s="28">
        <v>20000</v>
      </c>
      <c r="C27" s="28">
        <f>+B27*1.15</f>
        <v>23000</v>
      </c>
      <c r="D27" s="28">
        <f t="shared" ref="D27:M28" si="18">+C27*1.15</f>
        <v>26449.999999999996</v>
      </c>
      <c r="E27" s="28">
        <f t="shared" si="18"/>
        <v>30417.499999999993</v>
      </c>
      <c r="F27" s="28">
        <f t="shared" si="18"/>
        <v>34980.124999999985</v>
      </c>
      <c r="G27" s="28">
        <f t="shared" si="18"/>
        <v>40227.143749999981</v>
      </c>
      <c r="H27" s="28">
        <f t="shared" si="18"/>
        <v>46261.215312499975</v>
      </c>
      <c r="I27" s="28">
        <f t="shared" si="18"/>
        <v>53200.397609374966</v>
      </c>
      <c r="J27" s="28">
        <f t="shared" si="18"/>
        <v>61180.457250781204</v>
      </c>
      <c r="K27" s="28">
        <f t="shared" si="18"/>
        <v>70357.525838398375</v>
      </c>
      <c r="L27" s="28">
        <f t="shared" si="18"/>
        <v>80911.154714158125</v>
      </c>
      <c r="M27" s="28">
        <f t="shared" si="18"/>
        <v>93047.827921281831</v>
      </c>
      <c r="N27" s="68">
        <f t="shared" si="14"/>
        <v>580033.34739649436</v>
      </c>
      <c r="O27">
        <v>94000</v>
      </c>
    </row>
    <row r="28" spans="1:15" ht="14.1" customHeight="1" x14ac:dyDescent="0.25">
      <c r="A28" s="71" t="s">
        <v>200</v>
      </c>
      <c r="B28" s="28">
        <v>15000</v>
      </c>
      <c r="C28" s="28">
        <f>+B28*1.15</f>
        <v>17250</v>
      </c>
      <c r="D28" s="28">
        <f t="shared" si="18"/>
        <v>19837.5</v>
      </c>
      <c r="E28" s="28">
        <f t="shared" si="18"/>
        <v>22813.125</v>
      </c>
      <c r="F28" s="28">
        <f t="shared" si="18"/>
        <v>26235.093749999996</v>
      </c>
      <c r="G28" s="28">
        <f t="shared" si="18"/>
        <v>30170.357812499995</v>
      </c>
      <c r="H28" s="28">
        <f t="shared" si="18"/>
        <v>34695.911484374992</v>
      </c>
      <c r="I28" s="28">
        <f t="shared" si="18"/>
        <v>39900.298207031236</v>
      </c>
      <c r="J28" s="28">
        <f t="shared" si="18"/>
        <v>45885.342938085916</v>
      </c>
      <c r="K28" s="28">
        <f t="shared" si="18"/>
        <v>52768.144378798803</v>
      </c>
      <c r="L28" s="28">
        <f t="shared" si="18"/>
        <v>60683.366035618616</v>
      </c>
      <c r="M28" s="28">
        <f t="shared" si="18"/>
        <v>69785.870940961409</v>
      </c>
      <c r="N28" s="68">
        <f t="shared" si="14"/>
        <v>435025.010547371</v>
      </c>
      <c r="O28">
        <v>70000</v>
      </c>
    </row>
    <row r="29" spans="1:15" ht="15.75" x14ac:dyDescent="0.25">
      <c r="A29" s="72" t="s">
        <v>201</v>
      </c>
      <c r="B29" s="27">
        <f t="shared" ref="B29:M29" si="19">SUM(B27:B28)</f>
        <v>35000</v>
      </c>
      <c r="C29" s="27">
        <f t="shared" si="19"/>
        <v>40250</v>
      </c>
      <c r="D29" s="27">
        <f t="shared" si="19"/>
        <v>46287.5</v>
      </c>
      <c r="E29" s="27">
        <f t="shared" si="19"/>
        <v>53230.624999999993</v>
      </c>
      <c r="F29" s="27">
        <f t="shared" si="19"/>
        <v>61215.218749999985</v>
      </c>
      <c r="G29" s="27">
        <f t="shared" si="19"/>
        <v>70397.50156249998</v>
      </c>
      <c r="H29" s="27">
        <f t="shared" si="19"/>
        <v>80957.126796874974</v>
      </c>
      <c r="I29" s="27">
        <f t="shared" si="19"/>
        <v>93100.695816406194</v>
      </c>
      <c r="J29" s="27">
        <f t="shared" si="19"/>
        <v>107065.80018886711</v>
      </c>
      <c r="K29" s="27">
        <f t="shared" si="19"/>
        <v>123125.67021719718</v>
      </c>
      <c r="L29" s="27">
        <f t="shared" si="19"/>
        <v>141594.52074977674</v>
      </c>
      <c r="M29" s="27">
        <f t="shared" si="19"/>
        <v>162833.69886224324</v>
      </c>
      <c r="N29" s="68">
        <f t="shared" si="14"/>
        <v>1015058.3579438654</v>
      </c>
    </row>
    <row r="30" spans="1:15" ht="15.75" x14ac:dyDescent="0.25">
      <c r="A30" s="74" t="s">
        <v>202</v>
      </c>
      <c r="B30" s="73">
        <f t="shared" ref="B30:G30" si="20">+B29+B25+B20+B14</f>
        <v>800000</v>
      </c>
      <c r="C30" s="73">
        <f t="shared" si="20"/>
        <v>920000</v>
      </c>
      <c r="D30" s="73">
        <f t="shared" si="20"/>
        <v>1057999.9999999998</v>
      </c>
      <c r="E30" s="73">
        <f t="shared" si="20"/>
        <v>1216699.9999999995</v>
      </c>
      <c r="F30" s="73">
        <f t="shared" si="20"/>
        <v>1399204.9999999995</v>
      </c>
      <c r="G30" s="73">
        <f t="shared" si="20"/>
        <v>1609085.7499999993</v>
      </c>
      <c r="H30" s="80">
        <f t="shared" ref="H30:M30" si="21">H29+H25+H20+H14</f>
        <v>1850448.6124999989</v>
      </c>
      <c r="I30" s="80">
        <f t="shared" si="21"/>
        <v>2128015.9043749985</v>
      </c>
      <c r="J30" s="80">
        <f t="shared" si="21"/>
        <v>2447218.2900312482</v>
      </c>
      <c r="K30" s="80">
        <f t="shared" si="21"/>
        <v>2814301.0335359355</v>
      </c>
      <c r="L30" s="80">
        <f t="shared" si="21"/>
        <v>3236446.1885663252</v>
      </c>
      <c r="M30" s="80">
        <f t="shared" si="21"/>
        <v>3721913.1168512744</v>
      </c>
      <c r="N30" s="68">
        <f t="shared" si="14"/>
        <v>23201333.895859778</v>
      </c>
    </row>
  </sheetData>
  <mergeCells count="5">
    <mergeCell ref="C2:E2"/>
    <mergeCell ref="A7:M7"/>
    <mergeCell ref="A15:M15"/>
    <mergeCell ref="A21:M21"/>
    <mergeCell ref="A26:M26"/>
  </mergeCells>
  <pageMargins left="0.70000000000000007" right="0.70000000000000007" top="0.75" bottom="0.75" header="0.30000000000000004" footer="0.30000000000000004"/>
  <pageSetup paperSize="9" scale="71" fitToWidth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8:D18"/>
  <sheetViews>
    <sheetView showGridLines="0" view="pageBreakPreview" zoomScale="112" zoomScaleNormal="100" zoomScaleSheetLayoutView="112" workbookViewId="0">
      <selection activeCell="D19" sqref="D19"/>
    </sheetView>
  </sheetViews>
  <sheetFormatPr baseColWidth="10" defaultRowHeight="15" x14ac:dyDescent="0.25"/>
  <cols>
    <col min="1" max="1" width="11.42578125" customWidth="1"/>
  </cols>
  <sheetData>
    <row r="18" spans="1:4" ht="21" x14ac:dyDescent="0.35">
      <c r="A18" s="412" t="s">
        <v>203</v>
      </c>
      <c r="B18" s="412"/>
      <c r="C18" s="412"/>
      <c r="D18" s="5">
        <f>+BASE_INFORMATION!D11</f>
        <v>2025</v>
      </c>
    </row>
  </sheetData>
  <mergeCells count="1">
    <mergeCell ref="A18:C18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7"/>
  <sheetViews>
    <sheetView showGridLines="0" topLeftCell="A2" zoomScale="98" zoomScaleNormal="98" workbookViewId="0">
      <selection activeCell="A2" sqref="A1:XFD1048576"/>
    </sheetView>
  </sheetViews>
  <sheetFormatPr baseColWidth="10" defaultRowHeight="15" x14ac:dyDescent="0.25"/>
  <cols>
    <col min="1" max="1" width="19.5703125" bestFit="1" customWidth="1"/>
    <col min="2" max="2" width="12.140625" bestFit="1" customWidth="1"/>
    <col min="3" max="3" width="11.85546875" bestFit="1" customWidth="1"/>
    <col min="4" max="6" width="10.28515625" bestFit="1" customWidth="1"/>
    <col min="7" max="9" width="11.5703125" bestFit="1" customWidth="1"/>
    <col min="10" max="10" width="12.85546875" bestFit="1" customWidth="1"/>
    <col min="11" max="11" width="11.5703125" bestFit="1" customWidth="1"/>
    <col min="12" max="12" width="12.5703125" bestFit="1" customWidth="1"/>
    <col min="13" max="13" width="11.85546875" bestFit="1" customWidth="1"/>
    <col min="14" max="14" width="12.7109375" bestFit="1" customWidth="1"/>
  </cols>
  <sheetData>
    <row r="1" spans="1:14" hidden="1" x14ac:dyDescent="0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4" ht="21" x14ac:dyDescent="0.35">
      <c r="A2" s="81"/>
      <c r="B2" s="81"/>
      <c r="C2" s="413" t="s">
        <v>204</v>
      </c>
      <c r="D2" s="413"/>
      <c r="E2" s="413"/>
      <c r="F2" s="81"/>
      <c r="G2" s="81"/>
      <c r="H2" s="55"/>
      <c r="I2" s="55"/>
      <c r="J2" s="55"/>
      <c r="K2" s="55"/>
      <c r="L2" s="55"/>
      <c r="M2" s="55"/>
      <c r="N2" s="55"/>
    </row>
    <row r="3" spans="1:14" ht="18.75" x14ac:dyDescent="0.3">
      <c r="A3" s="81"/>
      <c r="B3" s="81"/>
      <c r="C3" s="81"/>
      <c r="D3" s="81"/>
      <c r="E3" s="81"/>
      <c r="F3" s="81"/>
      <c r="G3" s="75" t="s">
        <v>159</v>
      </c>
      <c r="H3" s="55"/>
      <c r="I3" s="55"/>
      <c r="J3" s="55"/>
      <c r="K3" s="55"/>
      <c r="L3" s="55"/>
      <c r="M3" s="55"/>
      <c r="N3" s="55"/>
    </row>
    <row r="4" spans="1:14" ht="6" customHeight="1" x14ac:dyDescent="0.25">
      <c r="A4" s="81"/>
      <c r="B4" s="81"/>
      <c r="C4" s="81"/>
      <c r="D4" s="81"/>
      <c r="E4" s="81"/>
      <c r="F4" s="81"/>
      <c r="G4" s="81"/>
      <c r="H4" s="55"/>
      <c r="I4" s="55"/>
      <c r="J4" s="55"/>
      <c r="K4" s="55"/>
      <c r="L4" s="55"/>
      <c r="M4" s="55"/>
      <c r="N4" s="55"/>
    </row>
    <row r="5" spans="1:14" ht="30" customHeight="1" x14ac:dyDescent="0.35">
      <c r="A5" s="82" t="s">
        <v>160</v>
      </c>
      <c r="B5" s="83" t="s">
        <v>161</v>
      </c>
      <c r="C5" s="83" t="s">
        <v>162</v>
      </c>
      <c r="D5" s="83" t="s">
        <v>163</v>
      </c>
      <c r="E5" s="83" t="s">
        <v>178</v>
      </c>
      <c r="F5" s="83" t="s">
        <v>165</v>
      </c>
      <c r="G5" s="83" t="s">
        <v>166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6" t="s">
        <v>174</v>
      </c>
      <c r="N5" s="6" t="s">
        <v>221</v>
      </c>
    </row>
    <row r="6" spans="1:14" ht="21" x14ac:dyDescent="0.35">
      <c r="A6" s="414" t="s">
        <v>205</v>
      </c>
      <c r="B6" s="415"/>
      <c r="C6" s="415"/>
      <c r="D6" s="415"/>
      <c r="E6" s="415"/>
      <c r="F6" s="415"/>
      <c r="G6" s="415"/>
      <c r="H6" s="415"/>
      <c r="I6" s="415"/>
      <c r="J6" s="415"/>
      <c r="K6" s="415"/>
      <c r="L6" s="415"/>
      <c r="M6" s="416"/>
      <c r="N6" s="275"/>
    </row>
    <row r="7" spans="1:14" ht="21.95" customHeight="1" x14ac:dyDescent="0.25">
      <c r="A7" s="77" t="s">
        <v>206</v>
      </c>
      <c r="B7" s="28">
        <f>+'Chifre d''affaire-mens_anné_N'!B8</f>
        <v>2000000</v>
      </c>
      <c r="C7" s="28">
        <f>+'Chifre d''affaire-mens_anné_N'!C8</f>
        <v>2300000</v>
      </c>
      <c r="D7" s="28">
        <f>+'Chifre d''affaire-mens_anné_N'!D8</f>
        <v>2645000</v>
      </c>
      <c r="E7" s="28">
        <f>+'Chifre d''affaire-mens_anné_N'!E8</f>
        <v>3041749.9999999995</v>
      </c>
      <c r="F7" s="28">
        <f>+'Chifre d''affaire-mens_anné_N'!F8</f>
        <v>3498012.4999999991</v>
      </c>
      <c r="G7" s="28">
        <f>+'Chifre d''affaire-mens_anné_N'!G8</f>
        <v>4022714.3749999986</v>
      </c>
      <c r="H7" s="28">
        <f>+'Chifre d''affaire-mens_anné_N'!H8</f>
        <v>4626121.5312499981</v>
      </c>
      <c r="I7" s="28">
        <f>+'Chifre d''affaire-mens_anné_N'!I8</f>
        <v>5320039.760937497</v>
      </c>
      <c r="J7" s="28">
        <f>+'Chifre d''affaire-mens_anné_N'!J8</f>
        <v>6118045.7250781208</v>
      </c>
      <c r="K7" s="28">
        <f>+'Chifre d''affaire-mens_anné_N'!K8</f>
        <v>7035752.5838398384</v>
      </c>
      <c r="L7" s="28">
        <f>+'Chifre d''affaire-mens_anné_N'!L8</f>
        <v>8091115.4714158131</v>
      </c>
      <c r="M7" s="28">
        <f>+'Chifre d''affaire-mens_anné_N'!M8</f>
        <v>9304782.7921281848</v>
      </c>
      <c r="N7" s="27">
        <f>SUM(B7:M7)</f>
        <v>58003334.739649452</v>
      </c>
    </row>
    <row r="8" spans="1:14" ht="15.75" x14ac:dyDescent="0.25">
      <c r="A8" s="417"/>
      <c r="B8" s="417"/>
      <c r="C8" s="417"/>
      <c r="D8" s="417"/>
      <c r="E8" s="417"/>
      <c r="F8" s="417"/>
      <c r="G8" s="417"/>
      <c r="H8" s="28"/>
      <c r="I8" s="28"/>
      <c r="J8" s="28"/>
      <c r="K8" s="28"/>
      <c r="L8" s="28"/>
      <c r="M8" s="28"/>
      <c r="N8" s="27">
        <f>SUM(B8:M8)</f>
        <v>0</v>
      </c>
    </row>
    <row r="9" spans="1:14" ht="21.95" customHeight="1" x14ac:dyDescent="0.25">
      <c r="A9" s="78" t="s">
        <v>205</v>
      </c>
      <c r="B9" s="27">
        <f t="shared" ref="B9:M9" si="0">+B7</f>
        <v>2000000</v>
      </c>
      <c r="C9" s="27">
        <f t="shared" si="0"/>
        <v>2300000</v>
      </c>
      <c r="D9" s="27">
        <f t="shared" si="0"/>
        <v>2645000</v>
      </c>
      <c r="E9" s="27">
        <f t="shared" si="0"/>
        <v>3041749.9999999995</v>
      </c>
      <c r="F9" s="27">
        <f t="shared" si="0"/>
        <v>3498012.4999999991</v>
      </c>
      <c r="G9" s="27">
        <f t="shared" si="0"/>
        <v>4022714.3749999986</v>
      </c>
      <c r="H9" s="27">
        <f t="shared" si="0"/>
        <v>4626121.5312499981</v>
      </c>
      <c r="I9" s="27">
        <f t="shared" si="0"/>
        <v>5320039.760937497</v>
      </c>
      <c r="J9" s="27">
        <f t="shared" si="0"/>
        <v>6118045.7250781208</v>
      </c>
      <c r="K9" s="27">
        <f t="shared" si="0"/>
        <v>7035752.5838398384</v>
      </c>
      <c r="L9" s="27">
        <f t="shared" si="0"/>
        <v>8091115.4714158131</v>
      </c>
      <c r="M9" s="27">
        <f t="shared" si="0"/>
        <v>9304782.7921281848</v>
      </c>
      <c r="N9" s="27">
        <f>SUM(B9:M9)</f>
        <v>58003334.739649452</v>
      </c>
    </row>
    <row r="10" spans="1:14" ht="15.75" x14ac:dyDescent="0.25">
      <c r="A10" s="418" t="s">
        <v>207</v>
      </c>
      <c r="B10" s="419"/>
      <c r="C10" s="419"/>
      <c r="D10" s="419"/>
      <c r="E10" s="419"/>
      <c r="F10" s="419"/>
      <c r="G10" s="419"/>
      <c r="H10" s="419"/>
      <c r="I10" s="419"/>
      <c r="J10" s="419"/>
      <c r="K10" s="419"/>
      <c r="L10" s="419"/>
      <c r="M10" s="420"/>
      <c r="N10" s="27"/>
    </row>
    <row r="11" spans="1:14" ht="21" customHeight="1" x14ac:dyDescent="0.25">
      <c r="A11" s="77" t="s">
        <v>208</v>
      </c>
      <c r="B11" s="28">
        <f>+'Charge d''exploit_anné N'!B14</f>
        <v>115000</v>
      </c>
      <c r="C11" s="28">
        <f>+'Charge d''exploit_anné N'!C14</f>
        <v>132250</v>
      </c>
      <c r="D11" s="28">
        <f>+'Charge d''exploit_anné N'!D14</f>
        <v>152087.49999999997</v>
      </c>
      <c r="E11" s="28">
        <f>+'Charge d''exploit_anné N'!E14</f>
        <v>174900.62499999997</v>
      </c>
      <c r="F11" s="28">
        <f>+'Charge d''exploit_anné N'!F14</f>
        <v>201135.71874999994</v>
      </c>
      <c r="G11" s="28">
        <f>+'Charge d''exploit_anné N'!G14</f>
        <v>231306.07656249989</v>
      </c>
      <c r="H11" s="28">
        <f>+'Charge d''exploit_anné N'!H14</f>
        <v>266001.98804687487</v>
      </c>
      <c r="I11" s="28">
        <f>+'Charge d''exploit_anné N'!I14</f>
        <v>305902.28625390603</v>
      </c>
      <c r="J11" s="28">
        <f>+'Charge d''exploit_anné N'!J14</f>
        <v>351787.62919199193</v>
      </c>
      <c r="K11" s="28">
        <f>+'Charge d''exploit_anné N'!K14</f>
        <v>404555.77357079071</v>
      </c>
      <c r="L11" s="28">
        <f>+'Charge d''exploit_anné N'!L14</f>
        <v>465239.13960640936</v>
      </c>
      <c r="M11" s="28">
        <f>+'Charge d''exploit_anné N'!M14</f>
        <v>535025.01054737065</v>
      </c>
      <c r="N11" s="27">
        <f t="shared" ref="N11:N17" si="1">SUM(B11:M11)</f>
        <v>3335191.7475298434</v>
      </c>
    </row>
    <row r="12" spans="1:14" ht="21.95" customHeight="1" x14ac:dyDescent="0.25">
      <c r="A12" s="77" t="s">
        <v>209</v>
      </c>
      <c r="B12" s="28">
        <f>+'Charge d''exploit_anné N'!B20</f>
        <v>210000</v>
      </c>
      <c r="C12" s="28">
        <f>+'Charge d''exploit_anné N'!C20</f>
        <v>241500</v>
      </c>
      <c r="D12" s="28">
        <f>+'Charge d''exploit_anné N'!D20</f>
        <v>277725</v>
      </c>
      <c r="E12" s="28">
        <f>+'Charge d''exploit_anné N'!E20</f>
        <v>319383.74999999988</v>
      </c>
      <c r="F12" s="28">
        <f>+'Charge d''exploit_anné N'!F20</f>
        <v>367291.31249999988</v>
      </c>
      <c r="G12" s="28">
        <f>+'Charge d''exploit_anné N'!G20</f>
        <v>422385.00937499979</v>
      </c>
      <c r="H12" s="28">
        <f>+'Charge d''exploit_anné N'!H20</f>
        <v>485742.76078124979</v>
      </c>
      <c r="I12" s="28">
        <f>+'Charge d''exploit_anné N'!I20</f>
        <v>558604.17489843711</v>
      </c>
      <c r="J12" s="28">
        <f>+'Charge d''exploit_anné N'!J20</f>
        <v>642394.80113320274</v>
      </c>
      <c r="K12" s="28">
        <f>+'Charge d''exploit_anné N'!K20</f>
        <v>738754.02130318305</v>
      </c>
      <c r="L12" s="28">
        <f>+'Charge d''exploit_anné N'!L20</f>
        <v>849567.12449866033</v>
      </c>
      <c r="M12" s="28">
        <f>+'Charge d''exploit_anné N'!M20</f>
        <v>977002.19317345938</v>
      </c>
      <c r="N12" s="27">
        <f t="shared" si="1"/>
        <v>6090350.1476631938</v>
      </c>
    </row>
    <row r="13" spans="1:14" ht="21" customHeight="1" x14ac:dyDescent="0.25">
      <c r="A13" s="77" t="s">
        <v>210</v>
      </c>
      <c r="B13" s="28">
        <f>+'Charge d''exploit_anné N'!B25</f>
        <v>440000</v>
      </c>
      <c r="C13" s="28">
        <f>+'Charge d''exploit_anné N'!C25</f>
        <v>505999.99999999994</v>
      </c>
      <c r="D13" s="28">
        <f>+'Charge d''exploit_anné N'!D25</f>
        <v>581899.99999999988</v>
      </c>
      <c r="E13" s="28">
        <f>+'Charge d''exploit_anné N'!E25</f>
        <v>669184.99999999977</v>
      </c>
      <c r="F13" s="28">
        <f>+'Charge d''exploit_anné N'!F25</f>
        <v>769562.74999999965</v>
      </c>
      <c r="G13" s="28">
        <f>+'Charge d''exploit_anné N'!G25</f>
        <v>884997.16249999951</v>
      </c>
      <c r="H13" s="28">
        <f>+'Charge d''exploit_anné N'!H25</f>
        <v>1017746.7368749995</v>
      </c>
      <c r="I13" s="28">
        <f>+'Charge d''exploit_anné N'!I25</f>
        <v>1170408.7474062494</v>
      </c>
      <c r="J13" s="28">
        <f>+'Charge d''exploit_anné N'!J25</f>
        <v>1345970.0595171866</v>
      </c>
      <c r="K13" s="28">
        <f>+'Charge d''exploit_anné N'!K25</f>
        <v>1547865.5684447645</v>
      </c>
      <c r="L13" s="28">
        <f>+'Charge d''exploit_anné N'!L25</f>
        <v>1780045.4037114792</v>
      </c>
      <c r="M13" s="28">
        <f>+'Charge d''exploit_anné N'!M25</f>
        <v>2047052.214268201</v>
      </c>
      <c r="N13" s="27">
        <f t="shared" si="1"/>
        <v>12760733.642722879</v>
      </c>
    </row>
    <row r="14" spans="1:14" ht="21" customHeight="1" x14ac:dyDescent="0.25">
      <c r="A14" s="77" t="s">
        <v>211</v>
      </c>
      <c r="B14" s="28">
        <f>+'Charge d''exploit_anné N'!B29</f>
        <v>35000</v>
      </c>
      <c r="C14" s="28">
        <f>+'Charge d''exploit_anné N'!C29</f>
        <v>40250</v>
      </c>
      <c r="D14" s="28">
        <f>+'Charge d''exploit_anné N'!D29</f>
        <v>46287.5</v>
      </c>
      <c r="E14" s="28">
        <f>+'Charge d''exploit_anné N'!E29</f>
        <v>53230.624999999993</v>
      </c>
      <c r="F14" s="28">
        <f>+'Charge d''exploit_anné N'!F29</f>
        <v>61215.218749999985</v>
      </c>
      <c r="G14" s="28">
        <f>+'Charge d''exploit_anné N'!G29</f>
        <v>70397.50156249998</v>
      </c>
      <c r="H14" s="28">
        <f>+'Charge d''exploit_anné N'!H29</f>
        <v>80957.126796874974</v>
      </c>
      <c r="I14" s="28">
        <f>+'Charge d''exploit_anné N'!I29</f>
        <v>93100.695816406194</v>
      </c>
      <c r="J14" s="28">
        <f>+'Charge d''exploit_anné N'!J29</f>
        <v>107065.80018886711</v>
      </c>
      <c r="K14" s="28">
        <f>+'Charge d''exploit_anné N'!K29</f>
        <v>123125.67021719718</v>
      </c>
      <c r="L14" s="28">
        <f>+'Charge d''exploit_anné N'!L29</f>
        <v>141594.52074977674</v>
      </c>
      <c r="M14" s="28">
        <f>+'Charge d''exploit_anné N'!M29</f>
        <v>162833.69886224324</v>
      </c>
      <c r="N14" s="27">
        <f t="shared" si="1"/>
        <v>1015058.3579438654</v>
      </c>
    </row>
    <row r="15" spans="1:14" ht="21" customHeight="1" x14ac:dyDescent="0.25">
      <c r="A15" s="78" t="s">
        <v>254</v>
      </c>
      <c r="B15" s="27">
        <f t="shared" ref="B15:G15" si="2">SUM(B11:B14)</f>
        <v>800000</v>
      </c>
      <c r="C15" s="27">
        <f t="shared" si="2"/>
        <v>920000</v>
      </c>
      <c r="D15" s="27">
        <f t="shared" si="2"/>
        <v>1058000</v>
      </c>
      <c r="E15" s="27">
        <f t="shared" si="2"/>
        <v>1216699.9999999995</v>
      </c>
      <c r="F15" s="27">
        <f t="shared" si="2"/>
        <v>1399204.9999999995</v>
      </c>
      <c r="G15" s="27">
        <f t="shared" si="2"/>
        <v>1609085.7499999991</v>
      </c>
      <c r="H15" s="276">
        <f t="shared" ref="H15:M15" si="3">+SUM(H11:H14)</f>
        <v>1850448.6124999991</v>
      </c>
      <c r="I15" s="276">
        <f t="shared" si="3"/>
        <v>2128015.9043749985</v>
      </c>
      <c r="J15" s="276">
        <f t="shared" si="3"/>
        <v>2447218.2900312482</v>
      </c>
      <c r="K15" s="276">
        <f t="shared" si="3"/>
        <v>2814301.0335359359</v>
      </c>
      <c r="L15" s="276">
        <f t="shared" si="3"/>
        <v>3236446.1885663252</v>
      </c>
      <c r="M15" s="276">
        <f t="shared" si="3"/>
        <v>3721913.1168512744</v>
      </c>
      <c r="N15" s="27">
        <f t="shared" si="1"/>
        <v>23201333.895859782</v>
      </c>
    </row>
    <row r="16" spans="1:14" ht="21.95" customHeight="1" x14ac:dyDescent="0.25">
      <c r="A16" s="78" t="s">
        <v>213</v>
      </c>
      <c r="B16" s="28">
        <f t="shared" ref="B16:M16" si="4">B9-B15</f>
        <v>1200000</v>
      </c>
      <c r="C16" s="28">
        <f t="shared" si="4"/>
        <v>1380000</v>
      </c>
      <c r="D16" s="28">
        <f t="shared" si="4"/>
        <v>1587000</v>
      </c>
      <c r="E16" s="28">
        <f t="shared" si="4"/>
        <v>1825050</v>
      </c>
      <c r="F16" s="28">
        <f t="shared" si="4"/>
        <v>2098807.4999999995</v>
      </c>
      <c r="G16" s="28">
        <f t="shared" si="4"/>
        <v>2413628.6249999995</v>
      </c>
      <c r="H16" s="28">
        <f t="shared" si="4"/>
        <v>2775672.9187499993</v>
      </c>
      <c r="I16" s="28">
        <f t="shared" si="4"/>
        <v>3192023.8565624985</v>
      </c>
      <c r="J16" s="28">
        <f t="shared" si="4"/>
        <v>3670827.4350468726</v>
      </c>
      <c r="K16" s="28">
        <f t="shared" si="4"/>
        <v>4221451.5503039025</v>
      </c>
      <c r="L16" s="28">
        <f t="shared" si="4"/>
        <v>4854669.2828494878</v>
      </c>
      <c r="M16" s="28">
        <f t="shared" si="4"/>
        <v>5582869.6752769109</v>
      </c>
      <c r="N16" s="27">
        <f t="shared" si="1"/>
        <v>34802000.843789674</v>
      </c>
    </row>
    <row r="17" spans="1:14" ht="21" customHeight="1" x14ac:dyDescent="0.25">
      <c r="A17" s="79" t="s">
        <v>214</v>
      </c>
      <c r="B17" s="80">
        <f>B16</f>
        <v>1200000</v>
      </c>
      <c r="C17" s="80">
        <f t="shared" ref="C17:M17" si="5">C16+B17</f>
        <v>2580000</v>
      </c>
      <c r="D17" s="80">
        <f t="shared" si="5"/>
        <v>4167000</v>
      </c>
      <c r="E17" s="80">
        <f t="shared" si="5"/>
        <v>5992050</v>
      </c>
      <c r="F17" s="80">
        <f t="shared" si="5"/>
        <v>8090857.5</v>
      </c>
      <c r="G17" s="80">
        <f t="shared" si="5"/>
        <v>10504486.125</v>
      </c>
      <c r="H17" s="80">
        <f t="shared" si="5"/>
        <v>13280159.043749999</v>
      </c>
      <c r="I17" s="80">
        <f t="shared" si="5"/>
        <v>16472182.900312498</v>
      </c>
      <c r="J17" s="80">
        <f t="shared" si="5"/>
        <v>20143010.335359372</v>
      </c>
      <c r="K17" s="80">
        <f t="shared" si="5"/>
        <v>24364461.885663275</v>
      </c>
      <c r="L17" s="80">
        <f t="shared" si="5"/>
        <v>29219131.168512762</v>
      </c>
      <c r="M17" s="80">
        <f t="shared" si="5"/>
        <v>34802000.843789674</v>
      </c>
      <c r="N17" s="27">
        <f t="shared" si="1"/>
        <v>170815339.80238757</v>
      </c>
    </row>
  </sheetData>
  <mergeCells count="4">
    <mergeCell ref="C2:E2"/>
    <mergeCell ref="A6:M6"/>
    <mergeCell ref="A8:G8"/>
    <mergeCell ref="A10:M10"/>
  </mergeCells>
  <pageMargins left="0.70000000000000007" right="0.70000000000000007" top="0.75" bottom="0.75" header="0.30000000000000004" footer="0.30000000000000004"/>
  <pageSetup paperSize="9" scale="70" fitToWidth="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8:C20"/>
  <sheetViews>
    <sheetView showGridLines="0" view="pageBreakPreview" zoomScale="60" zoomScaleNormal="100" workbookViewId="0"/>
  </sheetViews>
  <sheetFormatPr baseColWidth="10" defaultRowHeight="15" x14ac:dyDescent="0.25"/>
  <cols>
    <col min="1" max="1" width="11.42578125" customWidth="1"/>
  </cols>
  <sheetData>
    <row r="18" spans="1:3" ht="21" x14ac:dyDescent="0.35">
      <c r="A18" s="8"/>
      <c r="B18" s="8"/>
      <c r="C18" s="8"/>
    </row>
    <row r="19" spans="1:3" ht="26.25" x14ac:dyDescent="0.4">
      <c r="A19" s="85" t="s">
        <v>215</v>
      </c>
      <c r="B19" s="85"/>
      <c r="C19" s="85"/>
    </row>
    <row r="20" spans="1:3" ht="26.25" x14ac:dyDescent="0.4">
      <c r="A20" s="85">
        <f>+CA_annuel_PREVISL!B6</f>
        <v>2026</v>
      </c>
      <c r="B20" s="85">
        <f>+CA_annuel_PREVISL!F6</f>
        <v>2030</v>
      </c>
      <c r="C20" s="85"/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D16"/>
  <sheetViews>
    <sheetView showGridLines="0" view="pageBreakPreview" zoomScaleNormal="100" zoomScaleSheetLayoutView="100" workbookViewId="0">
      <selection activeCell="A16" sqref="A16"/>
    </sheetView>
  </sheetViews>
  <sheetFormatPr baseColWidth="10" defaultRowHeight="15" x14ac:dyDescent="0.25"/>
  <cols>
    <col min="1" max="1" width="11.42578125" customWidth="1"/>
  </cols>
  <sheetData>
    <row r="13" spans="1:4" ht="26.25" x14ac:dyDescent="0.4">
      <c r="A13" s="85" t="s">
        <v>216</v>
      </c>
    </row>
    <row r="15" spans="1:4" ht="18.75" x14ac:dyDescent="0.3">
      <c r="A15" s="86" t="s">
        <v>217</v>
      </c>
      <c r="B15" s="86"/>
      <c r="C15" s="86"/>
      <c r="D15" s="86"/>
    </row>
    <row r="16" spans="1:4" ht="18.75" x14ac:dyDescent="0.3">
      <c r="A16" s="86" t="s">
        <v>218</v>
      </c>
      <c r="B16" s="86"/>
      <c r="C16" s="86"/>
      <c r="D16" s="86"/>
    </row>
  </sheetData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8"/>
  <sheetViews>
    <sheetView showGridLines="0" zoomScale="106" zoomScaleNormal="106" workbookViewId="0">
      <selection activeCell="A11" sqref="A11"/>
    </sheetView>
  </sheetViews>
  <sheetFormatPr baseColWidth="10" defaultRowHeight="15" x14ac:dyDescent="0.25"/>
  <cols>
    <col min="1" max="1" width="37.28515625" bestFit="1" customWidth="1"/>
    <col min="2" max="3" width="17.42578125" bestFit="1" customWidth="1"/>
    <col min="4" max="4" width="28" bestFit="1" customWidth="1"/>
    <col min="5" max="13" width="17.42578125" bestFit="1" customWidth="1"/>
    <col min="14" max="14" width="18.85546875" bestFit="1" customWidth="1"/>
  </cols>
  <sheetData>
    <row r="1" spans="1:14" ht="2.1" customHeight="1" x14ac:dyDescent="0.3">
      <c r="A1" s="229"/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</row>
    <row r="2" spans="1:14" ht="11.1" customHeight="1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</row>
    <row r="3" spans="1:14" ht="15.95" customHeight="1" x14ac:dyDescent="0.3">
      <c r="A3" s="272"/>
      <c r="B3" s="272"/>
      <c r="C3" s="272"/>
      <c r="D3" s="159" t="s">
        <v>384</v>
      </c>
      <c r="E3" s="272"/>
      <c r="F3" s="272"/>
      <c r="G3" s="272"/>
      <c r="H3" s="229"/>
      <c r="I3" s="229"/>
      <c r="J3" s="229"/>
      <c r="K3" s="229"/>
      <c r="L3" s="229"/>
      <c r="M3" s="229"/>
      <c r="N3" s="229"/>
    </row>
    <row r="4" spans="1:14" ht="6" customHeight="1" x14ac:dyDescent="0.3">
      <c r="A4" s="272"/>
      <c r="B4" s="272"/>
      <c r="C4" s="272"/>
      <c r="D4" s="272"/>
      <c r="E4" s="272"/>
      <c r="F4" s="272"/>
      <c r="G4" s="272"/>
      <c r="H4" s="229"/>
      <c r="I4" s="229"/>
      <c r="J4" s="229"/>
      <c r="K4" s="229"/>
      <c r="L4" s="229"/>
      <c r="M4" s="229"/>
      <c r="N4" s="229"/>
    </row>
    <row r="5" spans="1:14" ht="21" customHeight="1" x14ac:dyDescent="0.3">
      <c r="A5" s="272"/>
      <c r="B5" s="272"/>
      <c r="C5" s="272"/>
      <c r="D5" s="272"/>
      <c r="E5" s="272"/>
      <c r="F5" s="272"/>
      <c r="G5" s="159" t="s">
        <v>159</v>
      </c>
      <c r="H5" s="229">
        <f>+BASE_INFORMATION!A14</f>
        <v>2026</v>
      </c>
      <c r="I5" s="229"/>
      <c r="J5" s="229"/>
      <c r="K5" s="229"/>
      <c r="L5" s="229"/>
      <c r="M5" s="229"/>
      <c r="N5" s="229"/>
    </row>
    <row r="6" spans="1:14" ht="8.1" customHeight="1" x14ac:dyDescent="0.3">
      <c r="A6" s="272"/>
      <c r="B6" s="272"/>
      <c r="C6" s="272"/>
      <c r="D6" s="272"/>
      <c r="E6" s="272"/>
      <c r="F6" s="272"/>
      <c r="G6" s="272"/>
      <c r="H6" s="229"/>
      <c r="I6" s="229"/>
      <c r="J6" s="229"/>
      <c r="K6" s="229"/>
      <c r="L6" s="229"/>
      <c r="M6" s="229"/>
      <c r="N6" s="229"/>
    </row>
    <row r="7" spans="1:14" ht="33" customHeight="1" x14ac:dyDescent="0.25">
      <c r="A7" s="273" t="s">
        <v>160</v>
      </c>
      <c r="B7" s="270" t="s">
        <v>161</v>
      </c>
      <c r="C7" s="270" t="s">
        <v>162</v>
      </c>
      <c r="D7" s="270" t="s">
        <v>163</v>
      </c>
      <c r="E7" s="270" t="s">
        <v>164</v>
      </c>
      <c r="F7" s="270" t="s">
        <v>165</v>
      </c>
      <c r="G7" s="270" t="s">
        <v>166</v>
      </c>
      <c r="H7" s="270" t="s">
        <v>169</v>
      </c>
      <c r="I7" s="270" t="s">
        <v>170</v>
      </c>
      <c r="J7" s="270" t="s">
        <v>171</v>
      </c>
      <c r="K7" s="270" t="s">
        <v>172</v>
      </c>
      <c r="L7" s="270" t="s">
        <v>173</v>
      </c>
      <c r="M7" s="270" t="s">
        <v>174</v>
      </c>
      <c r="N7" s="270" t="s">
        <v>221</v>
      </c>
    </row>
    <row r="8" spans="1:14" ht="23.1" customHeight="1" x14ac:dyDescent="0.25">
      <c r="A8" s="271" t="s">
        <v>290</v>
      </c>
      <c r="B8" s="57">
        <v>2043000</v>
      </c>
      <c r="C8" s="28">
        <f>+B8*1.15</f>
        <v>2349450</v>
      </c>
      <c r="D8" s="28">
        <f t="shared" ref="D8:M8" si="0">+C8*1.15</f>
        <v>2701867.5</v>
      </c>
      <c r="E8" s="28">
        <f t="shared" si="0"/>
        <v>3107147.6249999995</v>
      </c>
      <c r="F8" s="28">
        <f t="shared" si="0"/>
        <v>3573219.7687499993</v>
      </c>
      <c r="G8" s="28">
        <f t="shared" si="0"/>
        <v>4109202.7340624989</v>
      </c>
      <c r="H8" s="28">
        <f t="shared" si="0"/>
        <v>4725583.1441718731</v>
      </c>
      <c r="I8" s="28">
        <f t="shared" si="0"/>
        <v>5434420.6157976538</v>
      </c>
      <c r="J8" s="28">
        <f t="shared" si="0"/>
        <v>6249583.7081673015</v>
      </c>
      <c r="K8" s="28">
        <f t="shared" si="0"/>
        <v>7187021.2643923964</v>
      </c>
      <c r="L8" s="28">
        <f t="shared" si="0"/>
        <v>8265074.4540512552</v>
      </c>
      <c r="M8" s="28">
        <f t="shared" si="0"/>
        <v>9504835.6221589427</v>
      </c>
      <c r="N8" s="61">
        <f>SUM(B8:M8)</f>
        <v>59250406.436551921</v>
      </c>
    </row>
    <row r="9" spans="1:14" ht="23.1" customHeight="1" x14ac:dyDescent="0.25">
      <c r="A9" s="271" t="s">
        <v>167</v>
      </c>
      <c r="B9" s="57">
        <v>1075000</v>
      </c>
      <c r="C9" s="28">
        <f t="shared" ref="C9:M9" si="1">+B9*1.15</f>
        <v>1236250</v>
      </c>
      <c r="D9" s="28">
        <f t="shared" si="1"/>
        <v>1421687.5</v>
      </c>
      <c r="E9" s="28">
        <f t="shared" si="1"/>
        <v>1634940.6249999998</v>
      </c>
      <c r="F9" s="28">
        <f t="shared" si="1"/>
        <v>1880181.7187499995</v>
      </c>
      <c r="G9" s="28">
        <f t="shared" si="1"/>
        <v>2162208.9765624991</v>
      </c>
      <c r="H9" s="28">
        <f t="shared" si="1"/>
        <v>2486540.3230468738</v>
      </c>
      <c r="I9" s="28">
        <f t="shared" si="1"/>
        <v>2859521.3715039045</v>
      </c>
      <c r="J9" s="28">
        <f t="shared" si="1"/>
        <v>3288449.57722949</v>
      </c>
      <c r="K9" s="28">
        <f t="shared" si="1"/>
        <v>3781717.0138139133</v>
      </c>
      <c r="L9" s="28">
        <f t="shared" si="1"/>
        <v>4348974.5658860002</v>
      </c>
      <c r="M9" s="28">
        <f t="shared" si="1"/>
        <v>5001320.7507688999</v>
      </c>
      <c r="N9" s="61">
        <f>SUM(B9:M9)</f>
        <v>31176792.422561578</v>
      </c>
    </row>
    <row r="10" spans="1:14" ht="23.1" customHeight="1" x14ac:dyDescent="0.25">
      <c r="A10" s="271" t="s">
        <v>168</v>
      </c>
      <c r="B10" s="57">
        <v>538000</v>
      </c>
      <c r="C10" s="28">
        <f t="shared" ref="C10:M10" si="2">+B10*1.15</f>
        <v>618700</v>
      </c>
      <c r="D10" s="28">
        <f t="shared" si="2"/>
        <v>711505</v>
      </c>
      <c r="E10" s="28">
        <f t="shared" si="2"/>
        <v>818230.74999999988</v>
      </c>
      <c r="F10" s="28">
        <f t="shared" si="2"/>
        <v>940965.36249999981</v>
      </c>
      <c r="G10" s="28">
        <f t="shared" si="2"/>
        <v>1082110.1668749996</v>
      </c>
      <c r="H10" s="28">
        <f t="shared" si="2"/>
        <v>1244426.6919062494</v>
      </c>
      <c r="I10" s="28">
        <f t="shared" si="2"/>
        <v>1431090.6956921867</v>
      </c>
      <c r="J10" s="28">
        <f t="shared" si="2"/>
        <v>1645754.3000460146</v>
      </c>
      <c r="K10" s="28">
        <f t="shared" si="2"/>
        <v>1892617.4450529166</v>
      </c>
      <c r="L10" s="28">
        <f t="shared" si="2"/>
        <v>2176510.0618108539</v>
      </c>
      <c r="M10" s="28">
        <f t="shared" si="2"/>
        <v>2502986.5710824816</v>
      </c>
      <c r="N10" s="61">
        <f>SUM(B10:M10)</f>
        <v>15602897.044965701</v>
      </c>
    </row>
    <row r="11" spans="1:14" ht="24" customHeight="1" x14ac:dyDescent="0.25">
      <c r="A11" s="58" t="s">
        <v>45</v>
      </c>
      <c r="B11" s="59">
        <f t="shared" ref="B11:M11" si="3">SUM(B8:B10)</f>
        <v>3656000</v>
      </c>
      <c r="C11" s="59">
        <f t="shared" si="3"/>
        <v>4204400</v>
      </c>
      <c r="D11" s="59">
        <f t="shared" si="3"/>
        <v>4835060</v>
      </c>
      <c r="E11" s="59">
        <f t="shared" si="3"/>
        <v>5560318.9999999991</v>
      </c>
      <c r="F11" s="59">
        <f t="shared" si="3"/>
        <v>6394366.8499999987</v>
      </c>
      <c r="G11" s="59">
        <f t="shared" si="3"/>
        <v>7353521.8774999976</v>
      </c>
      <c r="H11" s="62">
        <f t="shared" si="3"/>
        <v>8456550.1591249965</v>
      </c>
      <c r="I11" s="62">
        <f t="shared" si="3"/>
        <v>9725032.6829937454</v>
      </c>
      <c r="J11" s="62">
        <f t="shared" si="3"/>
        <v>11183787.585442808</v>
      </c>
      <c r="K11" s="62">
        <f t="shared" si="3"/>
        <v>12861355.723259225</v>
      </c>
      <c r="L11" s="62">
        <f t="shared" si="3"/>
        <v>14790559.081748109</v>
      </c>
      <c r="M11" s="62">
        <f t="shared" si="3"/>
        <v>17009142.944010325</v>
      </c>
      <c r="N11" s="61">
        <f>SUM(B11:M11)</f>
        <v>106030095.9040792</v>
      </c>
    </row>
    <row r="12" spans="1:14" s="278" customFormat="1" ht="18.75" x14ac:dyDescent="0.3">
      <c r="A12" s="277"/>
      <c r="B12" s="277"/>
      <c r="C12" s="277"/>
      <c r="D12" s="277"/>
      <c r="E12" s="277"/>
      <c r="F12" s="277"/>
      <c r="G12" s="277"/>
      <c r="H12" s="277"/>
      <c r="I12" s="277"/>
      <c r="J12" s="277"/>
      <c r="K12" s="277"/>
      <c r="L12" s="277"/>
      <c r="M12" s="277"/>
      <c r="N12" s="277"/>
    </row>
    <row r="13" spans="1:14" ht="5.0999999999999996" customHeight="1" x14ac:dyDescent="0.3">
      <c r="A13" s="229"/>
      <c r="B13" s="229"/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229"/>
      <c r="N13" s="229"/>
    </row>
    <row r="14" spans="1:14" ht="18.75" x14ac:dyDescent="0.3">
      <c r="A14" s="272"/>
      <c r="B14" s="272"/>
      <c r="C14" s="272"/>
      <c r="D14" s="159" t="s">
        <v>385</v>
      </c>
      <c r="E14" s="272"/>
      <c r="F14" s="272"/>
      <c r="G14" s="272"/>
      <c r="H14" s="229"/>
      <c r="I14" s="229"/>
      <c r="J14" s="229"/>
      <c r="K14" s="229"/>
      <c r="L14" s="229"/>
      <c r="M14" s="229"/>
      <c r="N14" s="229"/>
    </row>
    <row r="15" spans="1:14" ht="9" customHeight="1" x14ac:dyDescent="0.3">
      <c r="A15" s="272"/>
      <c r="B15" s="272"/>
      <c r="C15" s="272"/>
      <c r="D15" s="272"/>
      <c r="E15" s="272"/>
      <c r="F15" s="272"/>
      <c r="G15" s="272"/>
      <c r="H15" s="229"/>
      <c r="I15" s="229"/>
      <c r="J15" s="229"/>
      <c r="K15" s="229"/>
      <c r="L15" s="229"/>
      <c r="M15" s="229"/>
      <c r="N15" s="229"/>
    </row>
    <row r="16" spans="1:14" ht="18.75" x14ac:dyDescent="0.3">
      <c r="A16" s="272"/>
      <c r="B16" s="272"/>
      <c r="C16" s="272"/>
      <c r="D16" s="272"/>
      <c r="E16" s="272"/>
      <c r="F16" s="272"/>
      <c r="G16" s="159" t="s">
        <v>159</v>
      </c>
      <c r="H16" s="229">
        <f>+BASE_INFORMATION!B14</f>
        <v>2027</v>
      </c>
      <c r="I16" s="229"/>
      <c r="J16" s="229"/>
      <c r="K16" s="229"/>
      <c r="L16" s="229"/>
      <c r="M16" s="229"/>
      <c r="N16" s="229"/>
    </row>
    <row r="17" spans="1:14" ht="18.75" x14ac:dyDescent="0.3">
      <c r="A17" s="272"/>
      <c r="B17" s="272"/>
      <c r="C17" s="272"/>
      <c r="D17" s="272"/>
      <c r="E17" s="272"/>
      <c r="F17" s="272"/>
      <c r="G17" s="272"/>
      <c r="H17" s="229"/>
      <c r="I17" s="229"/>
      <c r="J17" s="229"/>
      <c r="K17" s="229"/>
      <c r="L17" s="229"/>
      <c r="M17" s="229"/>
      <c r="N17" s="229"/>
    </row>
    <row r="18" spans="1:14" ht="18.75" x14ac:dyDescent="0.25">
      <c r="A18" s="273" t="s">
        <v>160</v>
      </c>
      <c r="B18" s="270" t="s">
        <v>161</v>
      </c>
      <c r="C18" s="270" t="s">
        <v>162</v>
      </c>
      <c r="D18" s="270" t="s">
        <v>163</v>
      </c>
      <c r="E18" s="270" t="s">
        <v>164</v>
      </c>
      <c r="F18" s="270" t="s">
        <v>165</v>
      </c>
      <c r="G18" s="270" t="s">
        <v>166</v>
      </c>
      <c r="H18" s="270" t="s">
        <v>169</v>
      </c>
      <c r="I18" s="270" t="s">
        <v>170</v>
      </c>
      <c r="J18" s="270" t="s">
        <v>171</v>
      </c>
      <c r="K18" s="270" t="s">
        <v>172</v>
      </c>
      <c r="L18" s="270" t="s">
        <v>173</v>
      </c>
      <c r="M18" s="270" t="s">
        <v>174</v>
      </c>
      <c r="N18" s="270" t="s">
        <v>221</v>
      </c>
    </row>
    <row r="19" spans="1:14" ht="18.75" x14ac:dyDescent="0.25">
      <c r="A19" s="271" t="s">
        <v>290</v>
      </c>
      <c r="B19" s="57">
        <v>9500000</v>
      </c>
      <c r="C19" s="28">
        <f>+B19*1.15</f>
        <v>10925000</v>
      </c>
      <c r="D19" s="28">
        <f t="shared" ref="D19:M19" si="4">+C19*1.15</f>
        <v>12563749.999999998</v>
      </c>
      <c r="E19" s="28">
        <f t="shared" si="4"/>
        <v>14448312.499999996</v>
      </c>
      <c r="F19" s="28">
        <f t="shared" si="4"/>
        <v>16615559.374999994</v>
      </c>
      <c r="G19" s="28">
        <f t="shared" si="4"/>
        <v>19107893.281249993</v>
      </c>
      <c r="H19" s="28">
        <f t="shared" si="4"/>
        <v>21974077.273437489</v>
      </c>
      <c r="I19" s="28">
        <f t="shared" si="4"/>
        <v>25270188.864453111</v>
      </c>
      <c r="J19" s="28">
        <f t="shared" si="4"/>
        <v>29060717.194121074</v>
      </c>
      <c r="K19" s="28">
        <f t="shared" si="4"/>
        <v>33419824.773239233</v>
      </c>
      <c r="L19" s="28">
        <f t="shared" si="4"/>
        <v>38432798.489225112</v>
      </c>
      <c r="M19" s="28">
        <f t="shared" si="4"/>
        <v>44197718.262608878</v>
      </c>
      <c r="N19" s="61">
        <f>SUM(B19:M19)</f>
        <v>275515840.01333487</v>
      </c>
    </row>
    <row r="20" spans="1:14" ht="18.75" x14ac:dyDescent="0.25">
      <c r="A20" s="271" t="s">
        <v>167</v>
      </c>
      <c r="B20" s="57">
        <v>5000000</v>
      </c>
      <c r="C20" s="28">
        <f t="shared" ref="C20:M20" si="5">+B20*1.15</f>
        <v>5750000</v>
      </c>
      <c r="D20" s="28">
        <f t="shared" si="5"/>
        <v>6612499.9999999991</v>
      </c>
      <c r="E20" s="28">
        <f t="shared" si="5"/>
        <v>7604374.9999999981</v>
      </c>
      <c r="F20" s="28">
        <f t="shared" si="5"/>
        <v>8745031.2499999963</v>
      </c>
      <c r="G20" s="28">
        <f t="shared" si="5"/>
        <v>10056785.937499994</v>
      </c>
      <c r="H20" s="28">
        <f t="shared" si="5"/>
        <v>11565303.828124993</v>
      </c>
      <c r="I20" s="28">
        <f t="shared" si="5"/>
        <v>13300099.402343741</v>
      </c>
      <c r="J20" s="28">
        <f t="shared" si="5"/>
        <v>15295114.3126953</v>
      </c>
      <c r="K20" s="28">
        <f t="shared" si="5"/>
        <v>17589381.459599596</v>
      </c>
      <c r="L20" s="28">
        <f t="shared" si="5"/>
        <v>20227788.678539533</v>
      </c>
      <c r="M20" s="28">
        <f t="shared" si="5"/>
        <v>23261956.980320461</v>
      </c>
      <c r="N20" s="61">
        <f>SUM(B20:M20)</f>
        <v>145008336.8491236</v>
      </c>
    </row>
    <row r="21" spans="1:14" ht="18.75" x14ac:dyDescent="0.25">
      <c r="A21" s="271" t="s">
        <v>168</v>
      </c>
      <c r="B21" s="57">
        <v>2500000</v>
      </c>
      <c r="C21" s="28">
        <f t="shared" ref="C21:M21" si="6">+B21*1.15</f>
        <v>2875000</v>
      </c>
      <c r="D21" s="28">
        <f t="shared" si="6"/>
        <v>3306249.9999999995</v>
      </c>
      <c r="E21" s="28">
        <f t="shared" si="6"/>
        <v>3802187.4999999991</v>
      </c>
      <c r="F21" s="28">
        <f t="shared" si="6"/>
        <v>4372515.6249999981</v>
      </c>
      <c r="G21" s="28">
        <f t="shared" si="6"/>
        <v>5028392.9687499972</v>
      </c>
      <c r="H21" s="28">
        <f t="shared" si="6"/>
        <v>5782651.9140624963</v>
      </c>
      <c r="I21" s="28">
        <f t="shared" si="6"/>
        <v>6650049.7011718703</v>
      </c>
      <c r="J21" s="28">
        <f t="shared" si="6"/>
        <v>7647557.1563476501</v>
      </c>
      <c r="K21" s="28">
        <f t="shared" si="6"/>
        <v>8794690.7297997978</v>
      </c>
      <c r="L21" s="28">
        <f t="shared" si="6"/>
        <v>10113894.339269767</v>
      </c>
      <c r="M21" s="28">
        <f t="shared" si="6"/>
        <v>11630978.490160231</v>
      </c>
      <c r="N21" s="61">
        <f>SUM(B21:M21)</f>
        <v>72504168.424561799</v>
      </c>
    </row>
    <row r="22" spans="1:14" ht="18.75" x14ac:dyDescent="0.25">
      <c r="A22" s="58" t="s">
        <v>45</v>
      </c>
      <c r="B22" s="59">
        <f t="shared" ref="B22:M22" si="7">SUM(B19:B21)</f>
        <v>17000000</v>
      </c>
      <c r="C22" s="59">
        <f t="shared" si="7"/>
        <v>19550000</v>
      </c>
      <c r="D22" s="59">
        <f t="shared" si="7"/>
        <v>22482499.999999996</v>
      </c>
      <c r="E22" s="59">
        <f t="shared" si="7"/>
        <v>25854874.999999993</v>
      </c>
      <c r="F22" s="59">
        <f t="shared" si="7"/>
        <v>29733106.249999993</v>
      </c>
      <c r="G22" s="59">
        <f t="shared" si="7"/>
        <v>34193072.187499985</v>
      </c>
      <c r="H22" s="62">
        <f t="shared" si="7"/>
        <v>39322033.015624978</v>
      </c>
      <c r="I22" s="62">
        <f t="shared" si="7"/>
        <v>45220337.967968717</v>
      </c>
      <c r="J22" s="62">
        <f t="shared" si="7"/>
        <v>52003388.66316402</v>
      </c>
      <c r="K22" s="62">
        <f t="shared" si="7"/>
        <v>59803896.962638624</v>
      </c>
      <c r="L22" s="62">
        <f t="shared" si="7"/>
        <v>68774481.507034421</v>
      </c>
      <c r="M22" s="62">
        <f t="shared" si="7"/>
        <v>79090653.733089566</v>
      </c>
      <c r="N22" s="61">
        <f>SUM(B22:M22)</f>
        <v>493028345.28702033</v>
      </c>
    </row>
    <row r="24" spans="1:14" ht="18.75" x14ac:dyDescent="0.3">
      <c r="A24" s="229"/>
      <c r="B24" s="229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229"/>
      <c r="N24" s="229"/>
    </row>
    <row r="25" spans="1:14" ht="0.95" customHeight="1" x14ac:dyDescent="0.3">
      <c r="A25" s="229"/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</row>
    <row r="26" spans="1:14" ht="15.95" customHeight="1" x14ac:dyDescent="0.3">
      <c r="A26" s="272"/>
      <c r="B26" s="272"/>
      <c r="C26" s="272"/>
      <c r="D26" s="159" t="s">
        <v>386</v>
      </c>
      <c r="E26" s="272"/>
      <c r="F26" s="272"/>
      <c r="G26" s="272"/>
      <c r="H26" s="229"/>
      <c r="I26" s="229"/>
      <c r="J26" s="229"/>
      <c r="K26" s="229"/>
      <c r="L26" s="229"/>
      <c r="M26" s="229"/>
      <c r="N26" s="229"/>
    </row>
    <row r="27" spans="1:14" ht="9.9499999999999993" customHeight="1" x14ac:dyDescent="0.3">
      <c r="A27" s="272"/>
      <c r="B27" s="272"/>
      <c r="C27" s="272"/>
      <c r="D27" s="272"/>
      <c r="E27" s="272"/>
      <c r="F27" s="272"/>
      <c r="G27" s="272"/>
      <c r="H27" s="229"/>
      <c r="I27" s="229"/>
      <c r="J27" s="229"/>
      <c r="K27" s="229"/>
      <c r="L27" s="229"/>
      <c r="M27" s="229"/>
      <c r="N27" s="229"/>
    </row>
    <row r="28" spans="1:14" ht="18.75" x14ac:dyDescent="0.3">
      <c r="A28" s="272"/>
      <c r="B28" s="272"/>
      <c r="C28" s="272"/>
      <c r="D28" s="272"/>
      <c r="E28" s="272"/>
      <c r="F28" s="272"/>
      <c r="G28" s="159" t="s">
        <v>159</v>
      </c>
      <c r="H28" s="229">
        <f>+BASE_INFORMATION!C14</f>
        <v>2028</v>
      </c>
      <c r="I28" s="229"/>
      <c r="J28" s="229"/>
      <c r="K28" s="229"/>
      <c r="L28" s="229"/>
      <c r="M28" s="229"/>
      <c r="N28" s="229"/>
    </row>
    <row r="29" spans="1:14" ht="18.75" x14ac:dyDescent="0.3">
      <c r="A29" s="272"/>
      <c r="B29" s="272"/>
      <c r="C29" s="272"/>
      <c r="D29" s="272"/>
      <c r="E29" s="272"/>
      <c r="F29" s="272"/>
      <c r="G29" s="272"/>
      <c r="H29" s="229"/>
      <c r="I29" s="229"/>
      <c r="J29" s="229"/>
      <c r="K29" s="229"/>
      <c r="L29" s="229"/>
      <c r="M29" s="229"/>
      <c r="N29" s="229"/>
    </row>
    <row r="30" spans="1:14" ht="18.75" x14ac:dyDescent="0.25">
      <c r="A30" s="273" t="s">
        <v>160</v>
      </c>
      <c r="B30" s="270" t="s">
        <v>161</v>
      </c>
      <c r="C30" s="270" t="s">
        <v>162</v>
      </c>
      <c r="D30" s="270" t="s">
        <v>163</v>
      </c>
      <c r="E30" s="270" t="s">
        <v>164</v>
      </c>
      <c r="F30" s="270" t="s">
        <v>165</v>
      </c>
      <c r="G30" s="270" t="s">
        <v>166</v>
      </c>
      <c r="H30" s="270" t="s">
        <v>169</v>
      </c>
      <c r="I30" s="270" t="s">
        <v>170</v>
      </c>
      <c r="J30" s="270" t="s">
        <v>171</v>
      </c>
      <c r="K30" s="270" t="s">
        <v>172</v>
      </c>
      <c r="L30" s="270" t="s">
        <v>173</v>
      </c>
      <c r="M30" s="270" t="s">
        <v>174</v>
      </c>
      <c r="N30" s="270" t="s">
        <v>221</v>
      </c>
    </row>
    <row r="31" spans="1:14" ht="18.75" x14ac:dyDescent="0.25">
      <c r="A31" s="271" t="s">
        <v>290</v>
      </c>
      <c r="B31" s="57">
        <v>45000000</v>
      </c>
      <c r="C31" s="28">
        <f>+B31*1.15</f>
        <v>51749999.999999993</v>
      </c>
      <c r="D31" s="28">
        <f t="shared" ref="D31:M31" si="8">+C31*1.15</f>
        <v>59512499.999999985</v>
      </c>
      <c r="E31" s="28">
        <f t="shared" si="8"/>
        <v>68439374.99999997</v>
      </c>
      <c r="F31" s="28">
        <f t="shared" si="8"/>
        <v>78705281.249999955</v>
      </c>
      <c r="G31" s="28">
        <f t="shared" si="8"/>
        <v>90511073.43749994</v>
      </c>
      <c r="H31" s="28">
        <f t="shared" si="8"/>
        <v>104087734.45312493</v>
      </c>
      <c r="I31" s="28">
        <f t="shared" si="8"/>
        <v>119700894.62109366</v>
      </c>
      <c r="J31" s="28">
        <f t="shared" si="8"/>
        <v>137656028.81425771</v>
      </c>
      <c r="K31" s="28">
        <f t="shared" si="8"/>
        <v>158304433.13639635</v>
      </c>
      <c r="L31" s="28">
        <f t="shared" si="8"/>
        <v>182050098.10685578</v>
      </c>
      <c r="M31" s="28">
        <f t="shared" si="8"/>
        <v>209357612.82288414</v>
      </c>
      <c r="N31" s="61">
        <f>SUM(B31:M31)</f>
        <v>1305075031.6421125</v>
      </c>
    </row>
    <row r="32" spans="1:14" ht="18.75" x14ac:dyDescent="0.25">
      <c r="A32" s="271" t="s">
        <v>167</v>
      </c>
      <c r="B32" s="57">
        <v>25000000</v>
      </c>
      <c r="C32" s="28">
        <f t="shared" ref="C32:M32" si="9">+B32*1.15</f>
        <v>28749999.999999996</v>
      </c>
      <c r="D32" s="28">
        <f t="shared" si="9"/>
        <v>33062499.999999993</v>
      </c>
      <c r="E32" s="28">
        <f t="shared" si="9"/>
        <v>38021874.999999985</v>
      </c>
      <c r="F32" s="28">
        <f t="shared" si="9"/>
        <v>43725156.249999978</v>
      </c>
      <c r="G32" s="28">
        <f t="shared" si="9"/>
        <v>50283929.68749997</v>
      </c>
      <c r="H32" s="28">
        <f t="shared" si="9"/>
        <v>57826519.140624963</v>
      </c>
      <c r="I32" s="28">
        <f t="shared" si="9"/>
        <v>66500497.011718705</v>
      </c>
      <c r="J32" s="28">
        <f t="shared" si="9"/>
        <v>76475571.563476503</v>
      </c>
      <c r="K32" s="28">
        <f t="shared" si="9"/>
        <v>87946907.297997966</v>
      </c>
      <c r="L32" s="28">
        <f t="shared" si="9"/>
        <v>101138943.39269765</v>
      </c>
      <c r="M32" s="28">
        <f t="shared" si="9"/>
        <v>116309784.90160228</v>
      </c>
      <c r="N32" s="61">
        <f>SUM(B32:M32)</f>
        <v>725041684.24561799</v>
      </c>
    </row>
    <row r="33" spans="1:14" ht="18.75" x14ac:dyDescent="0.25">
      <c r="A33" s="271" t="s">
        <v>168</v>
      </c>
      <c r="B33" s="57">
        <v>12000000</v>
      </c>
      <c r="C33" s="28">
        <f t="shared" ref="C33:M33" si="10">+B33*1.15</f>
        <v>13799999.999999998</v>
      </c>
      <c r="D33" s="28">
        <f t="shared" si="10"/>
        <v>15869999.999999996</v>
      </c>
      <c r="E33" s="28">
        <f t="shared" si="10"/>
        <v>18250499.999999993</v>
      </c>
      <c r="F33" s="28">
        <f t="shared" si="10"/>
        <v>20988074.999999989</v>
      </c>
      <c r="G33" s="28">
        <f t="shared" si="10"/>
        <v>24136286.249999985</v>
      </c>
      <c r="H33" s="28">
        <f t="shared" si="10"/>
        <v>27756729.187499981</v>
      </c>
      <c r="I33" s="28">
        <f t="shared" si="10"/>
        <v>31920238.565624975</v>
      </c>
      <c r="J33" s="28">
        <f t="shared" si="10"/>
        <v>36708274.350468718</v>
      </c>
      <c r="K33" s="28">
        <f t="shared" si="10"/>
        <v>42214515.503039025</v>
      </c>
      <c r="L33" s="28">
        <f t="shared" si="10"/>
        <v>48546692.828494877</v>
      </c>
      <c r="M33" s="28">
        <f t="shared" si="10"/>
        <v>55828696.752769105</v>
      </c>
      <c r="N33" s="61">
        <f>SUM(B33:M33)</f>
        <v>348020008.43789667</v>
      </c>
    </row>
    <row r="34" spans="1:14" ht="18.75" x14ac:dyDescent="0.25">
      <c r="A34" s="58" t="s">
        <v>45</v>
      </c>
      <c r="B34" s="59">
        <f t="shared" ref="B34:M34" si="11">SUM(B31:B33)</f>
        <v>82000000</v>
      </c>
      <c r="C34" s="59">
        <f t="shared" si="11"/>
        <v>94299999.999999985</v>
      </c>
      <c r="D34" s="59">
        <f t="shared" si="11"/>
        <v>108444999.99999997</v>
      </c>
      <c r="E34" s="59">
        <f t="shared" si="11"/>
        <v>124711749.99999994</v>
      </c>
      <c r="F34" s="59">
        <f t="shared" si="11"/>
        <v>143418512.49999994</v>
      </c>
      <c r="G34" s="59">
        <f t="shared" si="11"/>
        <v>164931289.37499988</v>
      </c>
      <c r="H34" s="62">
        <f t="shared" si="11"/>
        <v>189670982.78124985</v>
      </c>
      <c r="I34" s="62">
        <f t="shared" si="11"/>
        <v>218121630.19843736</v>
      </c>
      <c r="J34" s="62">
        <f t="shared" si="11"/>
        <v>250839874.72820294</v>
      </c>
      <c r="K34" s="62">
        <f t="shared" si="11"/>
        <v>288465855.9374333</v>
      </c>
      <c r="L34" s="62">
        <f t="shared" si="11"/>
        <v>331735734.32804835</v>
      </c>
      <c r="M34" s="62">
        <f t="shared" si="11"/>
        <v>381496094.47725552</v>
      </c>
      <c r="N34" s="61">
        <f>SUM(B34:M34)</f>
        <v>2378136724.3256269</v>
      </c>
    </row>
    <row r="36" spans="1:14" ht="12.95" customHeight="1" x14ac:dyDescent="0.3">
      <c r="A36" s="229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</row>
    <row r="37" spans="1:14" ht="6" customHeight="1" x14ac:dyDescent="0.3">
      <c r="A37" s="229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</row>
    <row r="38" spans="1:14" ht="18.75" x14ac:dyDescent="0.3">
      <c r="A38" s="272"/>
      <c r="B38" s="272"/>
      <c r="C38" s="272"/>
      <c r="D38" s="159" t="s">
        <v>387</v>
      </c>
      <c r="E38" s="272"/>
      <c r="F38" s="272"/>
      <c r="G38" s="272"/>
      <c r="H38" s="229"/>
      <c r="I38" s="229"/>
      <c r="J38" s="229"/>
      <c r="K38" s="229"/>
      <c r="L38" s="229"/>
      <c r="M38" s="229"/>
      <c r="N38" s="229"/>
    </row>
    <row r="39" spans="1:14" ht="11.1" customHeight="1" x14ac:dyDescent="0.3">
      <c r="A39" s="272"/>
      <c r="B39" s="272"/>
      <c r="C39" s="272"/>
      <c r="D39" s="272"/>
      <c r="E39" s="272"/>
      <c r="F39" s="272"/>
      <c r="G39" s="272"/>
      <c r="H39" s="229"/>
      <c r="I39" s="229"/>
      <c r="J39" s="229"/>
      <c r="K39" s="229"/>
      <c r="L39" s="229"/>
      <c r="M39" s="229"/>
      <c r="N39" s="229"/>
    </row>
    <row r="40" spans="1:14" ht="30" customHeight="1" x14ac:dyDescent="0.3">
      <c r="A40" s="272"/>
      <c r="B40" s="272"/>
      <c r="C40" s="272"/>
      <c r="D40" s="272"/>
      <c r="E40" s="272"/>
      <c r="F40" s="272"/>
      <c r="G40" s="159" t="s">
        <v>159</v>
      </c>
      <c r="H40" s="229">
        <f>+BASE_INFORMATION!D14</f>
        <v>2029</v>
      </c>
      <c r="I40" s="229"/>
      <c r="J40" s="229"/>
      <c r="K40" s="229"/>
      <c r="L40" s="229"/>
      <c r="M40" s="229"/>
      <c r="N40" s="229"/>
    </row>
    <row r="41" spans="1:14" ht="18.75" x14ac:dyDescent="0.3">
      <c r="A41" s="272"/>
      <c r="B41" s="272"/>
      <c r="C41" s="272"/>
      <c r="D41" s="272"/>
      <c r="E41" s="272"/>
      <c r="F41" s="272"/>
      <c r="G41" s="272"/>
      <c r="H41" s="229"/>
      <c r="I41" s="229"/>
      <c r="J41" s="229"/>
      <c r="K41" s="229"/>
      <c r="L41" s="229"/>
      <c r="M41" s="229"/>
      <c r="N41" s="229"/>
    </row>
    <row r="42" spans="1:14" ht="18.75" x14ac:dyDescent="0.25">
      <c r="A42" s="273" t="s">
        <v>160</v>
      </c>
      <c r="B42" s="270" t="s">
        <v>161</v>
      </c>
      <c r="C42" s="270" t="s">
        <v>162</v>
      </c>
      <c r="D42" s="270" t="s">
        <v>163</v>
      </c>
      <c r="E42" s="270" t="s">
        <v>164</v>
      </c>
      <c r="F42" s="270" t="s">
        <v>165</v>
      </c>
      <c r="G42" s="270" t="s">
        <v>166</v>
      </c>
      <c r="H42" s="270" t="s">
        <v>169</v>
      </c>
      <c r="I42" s="270" t="s">
        <v>170</v>
      </c>
      <c r="J42" s="270" t="s">
        <v>171</v>
      </c>
      <c r="K42" s="270" t="s">
        <v>172</v>
      </c>
      <c r="L42" s="270" t="s">
        <v>173</v>
      </c>
      <c r="M42" s="270" t="s">
        <v>174</v>
      </c>
      <c r="N42" s="270" t="s">
        <v>221</v>
      </c>
    </row>
    <row r="43" spans="1:14" ht="18.75" x14ac:dyDescent="0.25">
      <c r="A43" s="271" t="s">
        <v>290</v>
      </c>
      <c r="B43" s="57">
        <v>210000000</v>
      </c>
      <c r="C43" s="28">
        <f>+B43*1.15</f>
        <v>241499999.99999997</v>
      </c>
      <c r="D43" s="28">
        <f t="shared" ref="D43:M43" si="12">+C43*1.15</f>
        <v>277724999.99999994</v>
      </c>
      <c r="E43" s="28">
        <f t="shared" si="12"/>
        <v>319383749.99999988</v>
      </c>
      <c r="F43" s="28">
        <f t="shared" si="12"/>
        <v>367291312.49999982</v>
      </c>
      <c r="G43" s="28">
        <f t="shared" si="12"/>
        <v>422385009.37499976</v>
      </c>
      <c r="H43" s="28">
        <f t="shared" si="12"/>
        <v>485742760.7812497</v>
      </c>
      <c r="I43" s="28">
        <f t="shared" si="12"/>
        <v>558604174.89843714</v>
      </c>
      <c r="J43" s="28">
        <f t="shared" si="12"/>
        <v>642394801.13320267</v>
      </c>
      <c r="K43" s="28">
        <f t="shared" si="12"/>
        <v>738754021.30318296</v>
      </c>
      <c r="L43" s="28">
        <f t="shared" si="12"/>
        <v>849567124.49866033</v>
      </c>
      <c r="M43" s="28">
        <f t="shared" si="12"/>
        <v>977002193.17345929</v>
      </c>
      <c r="N43" s="61">
        <f>SUM(B43:M43)</f>
        <v>6090350147.6631908</v>
      </c>
    </row>
    <row r="44" spans="1:14" ht="18.75" x14ac:dyDescent="0.25">
      <c r="A44" s="271" t="s">
        <v>167</v>
      </c>
      <c r="B44" s="57">
        <v>117000000</v>
      </c>
      <c r="C44" s="28">
        <f t="shared" ref="C44:M44" si="13">+B44*1.15</f>
        <v>134550000</v>
      </c>
      <c r="D44" s="28">
        <f t="shared" si="13"/>
        <v>154732500</v>
      </c>
      <c r="E44" s="28">
        <f t="shared" si="13"/>
        <v>177942375</v>
      </c>
      <c r="F44" s="28">
        <f t="shared" si="13"/>
        <v>204633731.24999997</v>
      </c>
      <c r="G44" s="28">
        <f t="shared" si="13"/>
        <v>235328790.93749994</v>
      </c>
      <c r="H44" s="28">
        <f t="shared" si="13"/>
        <v>270628109.57812488</v>
      </c>
      <c r="I44" s="28">
        <f t="shared" si="13"/>
        <v>311222326.01484358</v>
      </c>
      <c r="J44" s="28">
        <f t="shared" si="13"/>
        <v>357905674.91707009</v>
      </c>
      <c r="K44" s="28">
        <f t="shared" si="13"/>
        <v>411591526.1546306</v>
      </c>
      <c r="L44" s="28">
        <f t="shared" si="13"/>
        <v>473330255.07782513</v>
      </c>
      <c r="M44" s="28">
        <f t="shared" si="13"/>
        <v>544329793.33949888</v>
      </c>
      <c r="N44" s="61">
        <f>SUM(B44:M44)</f>
        <v>3393195082.2694931</v>
      </c>
    </row>
    <row r="45" spans="1:14" ht="18.75" x14ac:dyDescent="0.25">
      <c r="A45" s="271" t="s">
        <v>168</v>
      </c>
      <c r="B45" s="57">
        <v>56000000</v>
      </c>
      <c r="C45" s="28">
        <f t="shared" ref="C45:M45" si="14">+B45*1.15</f>
        <v>64399999.999999993</v>
      </c>
      <c r="D45" s="28">
        <f t="shared" si="14"/>
        <v>74059999.999999985</v>
      </c>
      <c r="E45" s="28">
        <f t="shared" si="14"/>
        <v>85168999.99999997</v>
      </c>
      <c r="F45" s="28">
        <f t="shared" si="14"/>
        <v>97944349.999999955</v>
      </c>
      <c r="G45" s="28">
        <f t="shared" si="14"/>
        <v>112636002.49999994</v>
      </c>
      <c r="H45" s="28">
        <f t="shared" si="14"/>
        <v>129531402.87499993</v>
      </c>
      <c r="I45" s="28">
        <f t="shared" si="14"/>
        <v>148961113.30624992</v>
      </c>
      <c r="J45" s="28">
        <f t="shared" si="14"/>
        <v>171305280.30218738</v>
      </c>
      <c r="K45" s="28">
        <f t="shared" si="14"/>
        <v>197001072.34751546</v>
      </c>
      <c r="L45" s="28">
        <f t="shared" si="14"/>
        <v>226551233.19964278</v>
      </c>
      <c r="M45" s="28">
        <f t="shared" si="14"/>
        <v>260533918.17958918</v>
      </c>
      <c r="N45" s="61">
        <f>SUM(B45:M45)</f>
        <v>1624093372.7101846</v>
      </c>
    </row>
    <row r="46" spans="1:14" ht="18.75" x14ac:dyDescent="0.25">
      <c r="A46" s="58" t="s">
        <v>45</v>
      </c>
      <c r="B46" s="59">
        <f t="shared" ref="B46:M46" si="15">SUM(B43:B45)</f>
        <v>383000000</v>
      </c>
      <c r="C46" s="59">
        <f t="shared" si="15"/>
        <v>440450000</v>
      </c>
      <c r="D46" s="59">
        <f t="shared" si="15"/>
        <v>506517499.99999994</v>
      </c>
      <c r="E46" s="59">
        <f t="shared" si="15"/>
        <v>582495124.99999988</v>
      </c>
      <c r="F46" s="59">
        <f t="shared" si="15"/>
        <v>669869393.74999976</v>
      </c>
      <c r="G46" s="59">
        <f t="shared" si="15"/>
        <v>770349802.81249976</v>
      </c>
      <c r="H46" s="62">
        <f t="shared" si="15"/>
        <v>885902273.2343744</v>
      </c>
      <c r="I46" s="62">
        <f t="shared" si="15"/>
        <v>1018787614.2195306</v>
      </c>
      <c r="J46" s="62">
        <f t="shared" si="15"/>
        <v>1171605756.3524601</v>
      </c>
      <c r="K46" s="62">
        <f t="shared" si="15"/>
        <v>1347346619.8053288</v>
      </c>
      <c r="L46" s="62">
        <f t="shared" si="15"/>
        <v>1549448612.7761283</v>
      </c>
      <c r="M46" s="62">
        <f t="shared" si="15"/>
        <v>1781865904.6925473</v>
      </c>
      <c r="N46" s="61">
        <f>SUM(B46:M46)</f>
        <v>11107638602.64287</v>
      </c>
    </row>
    <row r="48" spans="1:14" ht="6" customHeight="1" x14ac:dyDescent="0.3">
      <c r="A48" s="229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</row>
    <row r="49" spans="1:14" ht="5.0999999999999996" customHeight="1" x14ac:dyDescent="0.3">
      <c r="A49" s="229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</row>
    <row r="50" spans="1:14" ht="18.75" x14ac:dyDescent="0.3">
      <c r="A50" s="272"/>
      <c r="B50" s="272"/>
      <c r="C50" s="272"/>
      <c r="D50" s="159" t="s">
        <v>388</v>
      </c>
      <c r="E50" s="272"/>
      <c r="F50" s="272"/>
      <c r="G50" s="272"/>
      <c r="H50" s="229"/>
      <c r="I50" s="229"/>
      <c r="J50" s="229"/>
      <c r="K50" s="229"/>
      <c r="L50" s="229"/>
      <c r="M50" s="229"/>
      <c r="N50" s="229"/>
    </row>
    <row r="51" spans="1:14" ht="6.95" customHeight="1" x14ac:dyDescent="0.3">
      <c r="A51" s="272"/>
      <c r="B51" s="272"/>
      <c r="C51" s="272"/>
      <c r="D51" s="272"/>
      <c r="E51" s="272"/>
      <c r="F51" s="272"/>
      <c r="G51" s="272"/>
      <c r="H51" s="229"/>
      <c r="I51" s="229"/>
      <c r="J51" s="229"/>
      <c r="K51" s="229"/>
      <c r="L51" s="229"/>
      <c r="M51" s="229"/>
      <c r="N51" s="229"/>
    </row>
    <row r="52" spans="1:14" ht="18.75" x14ac:dyDescent="0.3">
      <c r="A52" s="272"/>
      <c r="B52" s="272"/>
      <c r="C52" s="272"/>
      <c r="D52" s="272"/>
      <c r="E52" s="272"/>
      <c r="F52" s="272"/>
      <c r="G52" s="159" t="s">
        <v>159</v>
      </c>
      <c r="H52" s="229">
        <f>+BASE_INFORMATION!E14</f>
        <v>2030</v>
      </c>
      <c r="I52" s="229"/>
      <c r="J52" s="229"/>
      <c r="K52" s="229"/>
      <c r="L52" s="229"/>
      <c r="M52" s="229"/>
      <c r="N52" s="229"/>
    </row>
    <row r="53" spans="1:14" ht="18.75" x14ac:dyDescent="0.3">
      <c r="A53" s="272"/>
      <c r="B53" s="272"/>
      <c r="C53" s="272"/>
      <c r="D53" s="272"/>
      <c r="E53" s="272"/>
      <c r="F53" s="272"/>
      <c r="G53" s="272"/>
      <c r="H53" s="229"/>
      <c r="I53" s="229"/>
      <c r="J53" s="229"/>
      <c r="K53" s="229"/>
      <c r="L53" s="229"/>
      <c r="M53" s="229"/>
      <c r="N53" s="229"/>
    </row>
    <row r="54" spans="1:14" ht="18.75" x14ac:dyDescent="0.25">
      <c r="A54" s="273" t="s">
        <v>160</v>
      </c>
      <c r="B54" s="270" t="s">
        <v>161</v>
      </c>
      <c r="C54" s="270" t="s">
        <v>162</v>
      </c>
      <c r="D54" s="270" t="s">
        <v>163</v>
      </c>
      <c r="E54" s="270" t="s">
        <v>164</v>
      </c>
      <c r="F54" s="270" t="s">
        <v>165</v>
      </c>
      <c r="G54" s="270" t="s">
        <v>166</v>
      </c>
      <c r="H54" s="270" t="s">
        <v>169</v>
      </c>
      <c r="I54" s="270" t="s">
        <v>170</v>
      </c>
      <c r="J54" s="270" t="s">
        <v>171</v>
      </c>
      <c r="K54" s="270" t="s">
        <v>172</v>
      </c>
      <c r="L54" s="270" t="s">
        <v>173</v>
      </c>
      <c r="M54" s="270" t="s">
        <v>174</v>
      </c>
      <c r="N54" s="270" t="s">
        <v>221</v>
      </c>
    </row>
    <row r="55" spans="1:14" ht="18.75" x14ac:dyDescent="0.25">
      <c r="A55" s="271" t="s">
        <v>290</v>
      </c>
      <c r="B55" s="57">
        <v>978000000</v>
      </c>
      <c r="C55" s="28">
        <f>+B55*1.15</f>
        <v>1124700000</v>
      </c>
      <c r="D55" s="28">
        <f t="shared" ref="D55:M55" si="16">+C55*1.15</f>
        <v>1293405000</v>
      </c>
      <c r="E55" s="28">
        <f t="shared" si="16"/>
        <v>1487415750</v>
      </c>
      <c r="F55" s="28">
        <f t="shared" si="16"/>
        <v>1710528112.4999998</v>
      </c>
      <c r="G55" s="28">
        <f t="shared" si="16"/>
        <v>1967107329.3749995</v>
      </c>
      <c r="H55" s="28">
        <f t="shared" si="16"/>
        <v>2262173428.781249</v>
      </c>
      <c r="I55" s="28">
        <f t="shared" si="16"/>
        <v>2601499443.0984364</v>
      </c>
      <c r="J55" s="28">
        <f t="shared" si="16"/>
        <v>2991724359.5632014</v>
      </c>
      <c r="K55" s="28">
        <f t="shared" si="16"/>
        <v>3440483013.4976811</v>
      </c>
      <c r="L55" s="28">
        <f t="shared" si="16"/>
        <v>3956555465.5223331</v>
      </c>
      <c r="M55" s="28">
        <f t="shared" si="16"/>
        <v>4550038785.3506832</v>
      </c>
      <c r="N55" s="61">
        <f>SUM(B55:M55)</f>
        <v>28363630687.688591</v>
      </c>
    </row>
    <row r="56" spans="1:14" ht="18.75" x14ac:dyDescent="0.25">
      <c r="A56" s="271" t="s">
        <v>167</v>
      </c>
      <c r="B56" s="57">
        <v>545000000</v>
      </c>
      <c r="C56" s="28">
        <f t="shared" ref="C56:M56" si="17">+B56*1.15</f>
        <v>626750000</v>
      </c>
      <c r="D56" s="28">
        <f t="shared" si="17"/>
        <v>720762500</v>
      </c>
      <c r="E56" s="28">
        <f t="shared" si="17"/>
        <v>828876874.99999988</v>
      </c>
      <c r="F56" s="28">
        <f t="shared" si="17"/>
        <v>953208406.24999976</v>
      </c>
      <c r="G56" s="28">
        <f t="shared" si="17"/>
        <v>1096189667.1874995</v>
      </c>
      <c r="H56" s="28">
        <f t="shared" si="17"/>
        <v>1260618117.2656243</v>
      </c>
      <c r="I56" s="28">
        <f t="shared" si="17"/>
        <v>1449710834.8554678</v>
      </c>
      <c r="J56" s="28">
        <f t="shared" si="17"/>
        <v>1667167460.0837879</v>
      </c>
      <c r="K56" s="28">
        <f t="shared" si="17"/>
        <v>1917242579.0963559</v>
      </c>
      <c r="L56" s="28">
        <f t="shared" si="17"/>
        <v>2204828965.9608092</v>
      </c>
      <c r="M56" s="28">
        <f t="shared" si="17"/>
        <v>2535553310.8549304</v>
      </c>
      <c r="N56" s="61">
        <f>SUM(B56:M56)</f>
        <v>15805908716.554476</v>
      </c>
    </row>
    <row r="57" spans="1:14" ht="18.75" x14ac:dyDescent="0.25">
      <c r="A57" s="271" t="s">
        <v>168</v>
      </c>
      <c r="B57" s="57">
        <v>261000000</v>
      </c>
      <c r="C57" s="28">
        <f t="shared" ref="C57:M57" si="18">+B57*1.15</f>
        <v>300150000</v>
      </c>
      <c r="D57" s="28">
        <f t="shared" si="18"/>
        <v>345172500</v>
      </c>
      <c r="E57" s="28">
        <f t="shared" si="18"/>
        <v>396948374.99999994</v>
      </c>
      <c r="F57" s="28">
        <f t="shared" si="18"/>
        <v>456490631.24999988</v>
      </c>
      <c r="G57" s="28">
        <f t="shared" si="18"/>
        <v>524964225.93749982</v>
      </c>
      <c r="H57" s="28">
        <f t="shared" si="18"/>
        <v>603708859.82812476</v>
      </c>
      <c r="I57" s="28">
        <f t="shared" si="18"/>
        <v>694265188.80234337</v>
      </c>
      <c r="J57" s="28">
        <f t="shared" si="18"/>
        <v>798404967.12269485</v>
      </c>
      <c r="K57" s="28">
        <f t="shared" si="18"/>
        <v>918165712.19109905</v>
      </c>
      <c r="L57" s="28">
        <f t="shared" si="18"/>
        <v>1055890569.0197638</v>
      </c>
      <c r="M57" s="28">
        <f t="shared" si="18"/>
        <v>1214274154.3727283</v>
      </c>
      <c r="N57" s="61">
        <f>SUM(B57:M57)</f>
        <v>7569435183.5242548</v>
      </c>
    </row>
    <row r="58" spans="1:14" ht="18.75" x14ac:dyDescent="0.25">
      <c r="A58" s="58" t="s">
        <v>45</v>
      </c>
      <c r="B58" s="59">
        <f t="shared" ref="B58:M58" si="19">SUM(B55:B57)</f>
        <v>1784000000</v>
      </c>
      <c r="C58" s="59">
        <f t="shared" si="19"/>
        <v>2051600000</v>
      </c>
      <c r="D58" s="59">
        <f t="shared" si="19"/>
        <v>2359340000</v>
      </c>
      <c r="E58" s="59">
        <f t="shared" si="19"/>
        <v>2713241000</v>
      </c>
      <c r="F58" s="59">
        <f t="shared" si="19"/>
        <v>3120227149.9999995</v>
      </c>
      <c r="G58" s="59">
        <f t="shared" si="19"/>
        <v>3588261222.499999</v>
      </c>
      <c r="H58" s="62">
        <f t="shared" si="19"/>
        <v>4126500405.8749981</v>
      </c>
      <c r="I58" s="62">
        <f t="shared" si="19"/>
        <v>4745475466.7562475</v>
      </c>
      <c r="J58" s="62">
        <f t="shared" si="19"/>
        <v>5457296786.7696848</v>
      </c>
      <c r="K58" s="62">
        <f t="shared" si="19"/>
        <v>6275891304.7851362</v>
      </c>
      <c r="L58" s="62">
        <f t="shared" si="19"/>
        <v>7217275000.5029068</v>
      </c>
      <c r="M58" s="62">
        <f t="shared" si="19"/>
        <v>8299866250.5783424</v>
      </c>
      <c r="N58" s="61">
        <f>SUM(B58:M58)</f>
        <v>51738974587.767319</v>
      </c>
    </row>
  </sheetData>
  <pageMargins left="0.70000000000000007" right="0.70000000000000007" top="0.75" bottom="0.75" header="0.30000000000000004" footer="0.30000000000000004"/>
  <pageSetup paperSize="9" scale="51" fitToWidth="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54"/>
  <sheetViews>
    <sheetView showGridLines="0" view="pageBreakPreview" topLeftCell="A5" zoomScale="90" zoomScaleNormal="90" zoomScaleSheetLayoutView="90" workbookViewId="0">
      <selection activeCell="B146" sqref="B146"/>
    </sheetView>
  </sheetViews>
  <sheetFormatPr baseColWidth="10" defaultRowHeight="15" x14ac:dyDescent="0.25"/>
  <cols>
    <col min="1" max="1" width="45.85546875" bestFit="1" customWidth="1"/>
    <col min="2" max="2" width="19.28515625" bestFit="1" customWidth="1"/>
    <col min="3" max="3" width="40.5703125" bestFit="1" customWidth="1"/>
    <col min="4" max="13" width="19.28515625" bestFit="1" customWidth="1"/>
    <col min="14" max="14" width="21" bestFit="1" customWidth="1"/>
    <col min="15" max="15" width="8.85546875" bestFit="1" customWidth="1"/>
    <col min="16" max="16" width="11.42578125" customWidth="1"/>
    <col min="17" max="17" width="0.140625" customWidth="1"/>
  </cols>
  <sheetData>
    <row r="1" spans="1:15" ht="9.9499999999999993" customHeight="1" x14ac:dyDescent="0.25">
      <c r="A1" s="55"/>
      <c r="B1" s="55"/>
      <c r="C1" s="55"/>
      <c r="D1" s="55"/>
      <c r="E1" s="55"/>
      <c r="F1" s="55"/>
      <c r="G1" s="55"/>
    </row>
    <row r="2" spans="1:15" ht="18.95" customHeight="1" x14ac:dyDescent="0.35">
      <c r="A2" s="241"/>
      <c r="B2" s="56"/>
      <c r="C2" s="56" t="s">
        <v>382</v>
      </c>
      <c r="D2" s="56"/>
      <c r="E2" s="56"/>
      <c r="F2" s="56"/>
      <c r="G2" s="56"/>
      <c r="H2" s="56"/>
      <c r="I2" s="241"/>
      <c r="J2" s="241"/>
      <c r="K2" s="241"/>
      <c r="L2" s="241"/>
      <c r="M2" s="241"/>
      <c r="N2" s="241"/>
    </row>
    <row r="3" spans="1:15" ht="17.100000000000001" customHeight="1" x14ac:dyDescent="0.3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5" ht="21" x14ac:dyDescent="0.35">
      <c r="A4" s="56"/>
      <c r="B4" s="56"/>
      <c r="C4" s="56"/>
      <c r="D4" s="56"/>
      <c r="E4" s="56"/>
      <c r="F4" s="56"/>
      <c r="G4" s="56" t="s">
        <v>159</v>
      </c>
      <c r="H4" s="56">
        <f>+BASE_INFORMATION!A14</f>
        <v>2026</v>
      </c>
      <c r="I4" s="56"/>
      <c r="J4" s="56"/>
      <c r="K4" s="56"/>
      <c r="L4" s="56"/>
      <c r="M4" s="56"/>
      <c r="N4" s="56"/>
    </row>
    <row r="5" spans="1:15" ht="21" x14ac:dyDescent="0.3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5" ht="21" x14ac:dyDescent="0.35">
      <c r="A6" s="230" t="s">
        <v>160</v>
      </c>
      <c r="B6" s="231" t="s">
        <v>161</v>
      </c>
      <c r="C6" s="231" t="s">
        <v>162</v>
      </c>
      <c r="D6" s="231" t="s">
        <v>163</v>
      </c>
      <c r="E6" s="231" t="s">
        <v>178</v>
      </c>
      <c r="F6" s="231" t="s">
        <v>165</v>
      </c>
      <c r="G6" s="231" t="s">
        <v>166</v>
      </c>
      <c r="H6" s="83" t="s">
        <v>169</v>
      </c>
      <c r="I6" s="83" t="s">
        <v>170</v>
      </c>
      <c r="J6" s="83" t="s">
        <v>171</v>
      </c>
      <c r="K6" s="83" t="s">
        <v>172</v>
      </c>
      <c r="L6" s="83" t="s">
        <v>173</v>
      </c>
      <c r="M6" s="83" t="s">
        <v>174</v>
      </c>
      <c r="N6" s="84" t="s">
        <v>45</v>
      </c>
    </row>
    <row r="7" spans="1:15" ht="21" x14ac:dyDescent="0.35">
      <c r="A7" s="421" t="s">
        <v>179</v>
      </c>
      <c r="B7" s="527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3"/>
      <c r="N7" s="232"/>
    </row>
    <row r="8" spans="1:15" ht="21" x14ac:dyDescent="0.35">
      <c r="A8" s="233" t="s">
        <v>307</v>
      </c>
      <c r="B8" s="529">
        <v>235000</v>
      </c>
      <c r="C8" s="526">
        <f>+B8*1.15</f>
        <v>270250</v>
      </c>
      <c r="D8" s="28">
        <f t="shared" ref="D8:M8" si="0">+C8*1.15</f>
        <v>310787.5</v>
      </c>
      <c r="E8" s="28">
        <f t="shared" si="0"/>
        <v>357405.625</v>
      </c>
      <c r="F8" s="28">
        <f t="shared" si="0"/>
        <v>411016.46874999994</v>
      </c>
      <c r="G8" s="28">
        <f t="shared" si="0"/>
        <v>472668.93906249991</v>
      </c>
      <c r="H8" s="28">
        <f t="shared" si="0"/>
        <v>543569.27992187487</v>
      </c>
      <c r="I8" s="28">
        <f t="shared" si="0"/>
        <v>625104.67191015603</v>
      </c>
      <c r="J8" s="28">
        <f t="shared" si="0"/>
        <v>718870.37269667943</v>
      </c>
      <c r="K8" s="28">
        <f t="shared" si="0"/>
        <v>826700.92860118125</v>
      </c>
      <c r="L8" s="28">
        <f t="shared" si="0"/>
        <v>950706.0678913584</v>
      </c>
      <c r="M8" s="28">
        <f t="shared" si="0"/>
        <v>1093311.9780750622</v>
      </c>
      <c r="N8" s="234">
        <f t="shared" ref="N8:N14" si="1">+SUM(B8:M8)</f>
        <v>6815391.8319088118</v>
      </c>
      <c r="O8">
        <v>1010000</v>
      </c>
    </row>
    <row r="9" spans="1:15" ht="21" x14ac:dyDescent="0.35">
      <c r="A9" s="233" t="s">
        <v>181</v>
      </c>
      <c r="B9" s="529">
        <v>70000</v>
      </c>
      <c r="C9" s="526">
        <f t="shared" ref="C9:M9" si="2">+B9*1.15</f>
        <v>80500</v>
      </c>
      <c r="D9" s="28">
        <f t="shared" si="2"/>
        <v>92575</v>
      </c>
      <c r="E9" s="28">
        <f t="shared" si="2"/>
        <v>106461.24999999999</v>
      </c>
      <c r="F9" s="28">
        <f t="shared" si="2"/>
        <v>122430.43749999997</v>
      </c>
      <c r="G9" s="28">
        <f t="shared" si="2"/>
        <v>140795.00312499996</v>
      </c>
      <c r="H9" s="28">
        <f t="shared" si="2"/>
        <v>161914.25359374995</v>
      </c>
      <c r="I9" s="28">
        <f t="shared" si="2"/>
        <v>186201.39163281242</v>
      </c>
      <c r="J9" s="28">
        <f t="shared" si="2"/>
        <v>214131.60037773426</v>
      </c>
      <c r="K9" s="28">
        <f t="shared" si="2"/>
        <v>246251.34043439437</v>
      </c>
      <c r="L9" s="28">
        <f t="shared" si="2"/>
        <v>283189.04149955348</v>
      </c>
      <c r="M9" s="28">
        <f t="shared" si="2"/>
        <v>325667.39772448648</v>
      </c>
      <c r="N9" s="234">
        <f t="shared" si="1"/>
        <v>2030116.7158877307</v>
      </c>
      <c r="O9">
        <v>326000</v>
      </c>
    </row>
    <row r="10" spans="1:15" ht="21" x14ac:dyDescent="0.35">
      <c r="A10" s="233" t="s">
        <v>182</v>
      </c>
      <c r="B10" s="529">
        <v>47000</v>
      </c>
      <c r="C10" s="526">
        <f t="shared" ref="C10:M10" si="3">+B10*1.15</f>
        <v>54049.999999999993</v>
      </c>
      <c r="D10" s="28">
        <f t="shared" si="3"/>
        <v>62157.499999999985</v>
      </c>
      <c r="E10" s="28">
        <f t="shared" si="3"/>
        <v>71481.124999999971</v>
      </c>
      <c r="F10" s="28">
        <f t="shared" si="3"/>
        <v>82203.293749999953</v>
      </c>
      <c r="G10" s="28">
        <f t="shared" si="3"/>
        <v>94533.787812499941</v>
      </c>
      <c r="H10" s="28">
        <f t="shared" si="3"/>
        <v>108713.85598437492</v>
      </c>
      <c r="I10" s="28">
        <f t="shared" si="3"/>
        <v>125020.93438203115</v>
      </c>
      <c r="J10" s="28">
        <f t="shared" si="3"/>
        <v>143774.07453933582</v>
      </c>
      <c r="K10" s="28">
        <f t="shared" si="3"/>
        <v>165340.18572023619</v>
      </c>
      <c r="L10" s="28">
        <f t="shared" si="3"/>
        <v>190141.21357827159</v>
      </c>
      <c r="M10" s="28">
        <f t="shared" si="3"/>
        <v>218662.39561501233</v>
      </c>
      <c r="N10" s="234">
        <f t="shared" si="1"/>
        <v>1363078.3663817619</v>
      </c>
      <c r="O10">
        <v>219000</v>
      </c>
    </row>
    <row r="11" spans="1:15" ht="21" x14ac:dyDescent="0.35">
      <c r="A11" s="233" t="s">
        <v>183</v>
      </c>
      <c r="B11" s="529">
        <v>94000</v>
      </c>
      <c r="C11" s="526">
        <f t="shared" ref="C11:M11" si="4">+B11*1.15</f>
        <v>108099.99999999999</v>
      </c>
      <c r="D11" s="28">
        <f t="shared" si="4"/>
        <v>124314.99999999997</v>
      </c>
      <c r="E11" s="28">
        <f t="shared" si="4"/>
        <v>142962.24999999994</v>
      </c>
      <c r="F11" s="28">
        <f t="shared" si="4"/>
        <v>164406.58749999991</v>
      </c>
      <c r="G11" s="28">
        <f t="shared" si="4"/>
        <v>189067.57562499988</v>
      </c>
      <c r="H11" s="28">
        <f t="shared" si="4"/>
        <v>217427.71196874985</v>
      </c>
      <c r="I11" s="28">
        <f t="shared" si="4"/>
        <v>250041.8687640623</v>
      </c>
      <c r="J11" s="28">
        <f t="shared" si="4"/>
        <v>287548.14907867165</v>
      </c>
      <c r="K11" s="28">
        <f t="shared" si="4"/>
        <v>330680.37144047237</v>
      </c>
      <c r="L11" s="28">
        <f t="shared" si="4"/>
        <v>380282.42715654318</v>
      </c>
      <c r="M11" s="28">
        <f t="shared" si="4"/>
        <v>437324.79123002465</v>
      </c>
      <c r="N11" s="234">
        <f t="shared" si="1"/>
        <v>2726156.7327635237</v>
      </c>
      <c r="O11">
        <v>438000</v>
      </c>
    </row>
    <row r="12" spans="1:15" ht="21" x14ac:dyDescent="0.35">
      <c r="A12" s="233" t="s">
        <v>184</v>
      </c>
      <c r="B12" s="529">
        <v>24000</v>
      </c>
      <c r="C12" s="526">
        <f t="shared" ref="C12:M12" si="5">+B12*1.15</f>
        <v>27599.999999999996</v>
      </c>
      <c r="D12" s="28">
        <f t="shared" si="5"/>
        <v>31739.999999999993</v>
      </c>
      <c r="E12" s="28">
        <f t="shared" si="5"/>
        <v>36500.999999999985</v>
      </c>
      <c r="F12" s="28">
        <f t="shared" si="5"/>
        <v>41976.14999999998</v>
      </c>
      <c r="G12" s="28">
        <f t="shared" si="5"/>
        <v>48272.572499999973</v>
      </c>
      <c r="H12" s="28">
        <f t="shared" si="5"/>
        <v>55513.458374999966</v>
      </c>
      <c r="I12" s="28">
        <f t="shared" si="5"/>
        <v>63840.477131249958</v>
      </c>
      <c r="J12" s="28">
        <f t="shared" si="5"/>
        <v>73416.548700937448</v>
      </c>
      <c r="K12" s="28">
        <f t="shared" si="5"/>
        <v>84429.031006078061</v>
      </c>
      <c r="L12" s="28">
        <f t="shared" si="5"/>
        <v>97093.385656989762</v>
      </c>
      <c r="M12" s="28">
        <f t="shared" si="5"/>
        <v>111657.39350553822</v>
      </c>
      <c r="N12" s="234">
        <f t="shared" si="1"/>
        <v>696040.01687579334</v>
      </c>
      <c r="O12">
        <v>112000</v>
      </c>
    </row>
    <row r="13" spans="1:15" ht="21" x14ac:dyDescent="0.35">
      <c r="A13" s="233" t="s">
        <v>185</v>
      </c>
      <c r="B13" s="529">
        <v>70000</v>
      </c>
      <c r="C13" s="526">
        <f t="shared" ref="C13:M13" si="6">+B13*1.15</f>
        <v>80500</v>
      </c>
      <c r="D13" s="28">
        <f t="shared" si="6"/>
        <v>92575</v>
      </c>
      <c r="E13" s="28">
        <f t="shared" si="6"/>
        <v>106461.24999999999</v>
      </c>
      <c r="F13" s="28">
        <f t="shared" si="6"/>
        <v>122430.43749999997</v>
      </c>
      <c r="G13" s="28">
        <f t="shared" si="6"/>
        <v>140795.00312499996</v>
      </c>
      <c r="H13" s="28">
        <f t="shared" si="6"/>
        <v>161914.25359374995</v>
      </c>
      <c r="I13" s="28">
        <f t="shared" si="6"/>
        <v>186201.39163281242</v>
      </c>
      <c r="J13" s="28">
        <f t="shared" si="6"/>
        <v>214131.60037773426</v>
      </c>
      <c r="K13" s="28">
        <f t="shared" si="6"/>
        <v>246251.34043439437</v>
      </c>
      <c r="L13" s="28">
        <f t="shared" si="6"/>
        <v>283189.04149955348</v>
      </c>
      <c r="M13" s="28">
        <f t="shared" si="6"/>
        <v>325667.39772448648</v>
      </c>
      <c r="N13" s="234">
        <f t="shared" si="1"/>
        <v>2030116.7158877307</v>
      </c>
      <c r="O13">
        <v>326000</v>
      </c>
    </row>
    <row r="14" spans="1:15" ht="21" x14ac:dyDescent="0.35">
      <c r="A14" s="235" t="s">
        <v>186</v>
      </c>
      <c r="B14" s="528">
        <f t="shared" ref="B14:M14" si="7">SUM(B8:B13)</f>
        <v>540000</v>
      </c>
      <c r="C14" s="236">
        <f t="shared" si="7"/>
        <v>621000</v>
      </c>
      <c r="D14" s="236">
        <f t="shared" si="7"/>
        <v>714150</v>
      </c>
      <c r="E14" s="236">
        <f t="shared" si="7"/>
        <v>821272.5</v>
      </c>
      <c r="F14" s="236">
        <f t="shared" si="7"/>
        <v>944463.37499999977</v>
      </c>
      <c r="G14" s="236">
        <f t="shared" si="7"/>
        <v>1086132.8812499996</v>
      </c>
      <c r="H14" s="18">
        <f t="shared" si="7"/>
        <v>1249052.8134374996</v>
      </c>
      <c r="I14" s="18">
        <f t="shared" si="7"/>
        <v>1436410.7354531239</v>
      </c>
      <c r="J14" s="18">
        <f t="shared" si="7"/>
        <v>1651872.3457710929</v>
      </c>
      <c r="K14" s="18">
        <f t="shared" si="7"/>
        <v>1899653.1976367566</v>
      </c>
      <c r="L14" s="18">
        <f t="shared" si="7"/>
        <v>2184601.17728227</v>
      </c>
      <c r="M14" s="18">
        <f t="shared" si="7"/>
        <v>2512291.3538746103</v>
      </c>
      <c r="N14" s="234">
        <f t="shared" si="1"/>
        <v>15660900.379705353</v>
      </c>
    </row>
    <row r="15" spans="1:15" ht="21" x14ac:dyDescent="0.35">
      <c r="A15" s="424" t="s">
        <v>187</v>
      </c>
      <c r="B15" s="531"/>
      <c r="C15" s="425"/>
      <c r="D15" s="425"/>
      <c r="E15" s="425"/>
      <c r="F15" s="425"/>
      <c r="G15" s="425"/>
      <c r="H15" s="425"/>
      <c r="I15" s="425"/>
      <c r="J15" s="425"/>
      <c r="K15" s="425"/>
      <c r="L15" s="425"/>
      <c r="M15" s="426"/>
      <c r="N15" s="234"/>
    </row>
    <row r="16" spans="1:15" ht="21" x14ac:dyDescent="0.25">
      <c r="A16" s="530" t="s">
        <v>188</v>
      </c>
      <c r="B16" s="529">
        <v>582000</v>
      </c>
      <c r="C16" s="526">
        <f>+B16*1.15</f>
        <v>669300</v>
      </c>
      <c r="D16" s="28">
        <f t="shared" ref="D16:M16" si="8">+C16*1.15</f>
        <v>769694.99999999988</v>
      </c>
      <c r="E16" s="28">
        <f t="shared" si="8"/>
        <v>885149.24999999977</v>
      </c>
      <c r="F16" s="28">
        <f t="shared" si="8"/>
        <v>1017921.6374999996</v>
      </c>
      <c r="G16" s="28">
        <f t="shared" si="8"/>
        <v>1170609.8831249995</v>
      </c>
      <c r="H16" s="28">
        <f t="shared" si="8"/>
        <v>1346201.3655937493</v>
      </c>
      <c r="I16" s="28">
        <f t="shared" si="8"/>
        <v>1548131.5704328115</v>
      </c>
      <c r="J16" s="28">
        <f t="shared" si="8"/>
        <v>1780351.305997733</v>
      </c>
      <c r="K16" s="28">
        <f t="shared" si="8"/>
        <v>2047404.0018973928</v>
      </c>
      <c r="L16" s="28">
        <f t="shared" si="8"/>
        <v>2354514.6021820013</v>
      </c>
      <c r="M16" s="28">
        <f t="shared" si="8"/>
        <v>2707691.7925093016</v>
      </c>
      <c r="N16" s="234">
        <f>+SUM(B16:M16)</f>
        <v>16878970.409237988</v>
      </c>
      <c r="O16">
        <v>2708000</v>
      </c>
    </row>
    <row r="17" spans="1:15" ht="21" x14ac:dyDescent="0.25">
      <c r="A17" s="530" t="s">
        <v>189</v>
      </c>
      <c r="B17" s="529">
        <v>117000</v>
      </c>
      <c r="C17" s="526">
        <f t="shared" ref="C17:M17" si="9">+B17*1.15</f>
        <v>134550</v>
      </c>
      <c r="D17" s="28">
        <f t="shared" si="9"/>
        <v>154732.5</v>
      </c>
      <c r="E17" s="28">
        <f t="shared" si="9"/>
        <v>177942.375</v>
      </c>
      <c r="F17" s="28">
        <f t="shared" si="9"/>
        <v>204633.73124999998</v>
      </c>
      <c r="G17" s="28">
        <f t="shared" si="9"/>
        <v>235328.79093749996</v>
      </c>
      <c r="H17" s="28">
        <f t="shared" si="9"/>
        <v>270628.10957812495</v>
      </c>
      <c r="I17" s="28">
        <f t="shared" si="9"/>
        <v>311222.32601484365</v>
      </c>
      <c r="J17" s="28">
        <f t="shared" si="9"/>
        <v>357905.6749170702</v>
      </c>
      <c r="K17" s="28">
        <f t="shared" si="9"/>
        <v>411591.5261546307</v>
      </c>
      <c r="L17" s="28">
        <f t="shared" si="9"/>
        <v>473330.25507782528</v>
      </c>
      <c r="M17" s="28">
        <f t="shared" si="9"/>
        <v>544329.79333949904</v>
      </c>
      <c r="N17" s="234">
        <f>+SUM(B17:M17)</f>
        <v>3393195.0822694944</v>
      </c>
      <c r="O17">
        <v>545000</v>
      </c>
    </row>
    <row r="18" spans="1:15" ht="21" x14ac:dyDescent="0.25">
      <c r="A18" s="530" t="s">
        <v>190</v>
      </c>
      <c r="B18" s="529">
        <v>210000</v>
      </c>
      <c r="C18" s="526">
        <f t="shared" ref="C18:M18" si="10">+B18*1.15</f>
        <v>241499.99999999997</v>
      </c>
      <c r="D18" s="28">
        <f t="shared" si="10"/>
        <v>277724.99999999994</v>
      </c>
      <c r="E18" s="28">
        <f t="shared" si="10"/>
        <v>319383.74999999988</v>
      </c>
      <c r="F18" s="28">
        <f t="shared" si="10"/>
        <v>367291.31249999983</v>
      </c>
      <c r="G18" s="28">
        <f t="shared" si="10"/>
        <v>422385.00937499979</v>
      </c>
      <c r="H18" s="28">
        <f t="shared" si="10"/>
        <v>485742.76078124973</v>
      </c>
      <c r="I18" s="28">
        <f t="shared" si="10"/>
        <v>558604.17489843711</v>
      </c>
      <c r="J18" s="28">
        <f t="shared" si="10"/>
        <v>642394.80113320262</v>
      </c>
      <c r="K18" s="28">
        <f t="shared" si="10"/>
        <v>738754.02130318293</v>
      </c>
      <c r="L18" s="28">
        <f t="shared" si="10"/>
        <v>849567.12449866033</v>
      </c>
      <c r="M18" s="28">
        <f t="shared" si="10"/>
        <v>977002.19317345927</v>
      </c>
      <c r="N18" s="234">
        <f>+SUM(B18:M18)</f>
        <v>6090350.1476631928</v>
      </c>
      <c r="O18">
        <v>978000</v>
      </c>
    </row>
    <row r="19" spans="1:15" ht="21" x14ac:dyDescent="0.25">
      <c r="A19" s="530" t="s">
        <v>191</v>
      </c>
      <c r="B19" s="529">
        <v>70000</v>
      </c>
      <c r="C19" s="526">
        <f t="shared" ref="C19:M19" si="11">+B19*1.15</f>
        <v>80500</v>
      </c>
      <c r="D19" s="28">
        <f t="shared" si="11"/>
        <v>92575</v>
      </c>
      <c r="E19" s="28">
        <f t="shared" si="11"/>
        <v>106461.24999999999</v>
      </c>
      <c r="F19" s="28">
        <f t="shared" si="11"/>
        <v>122430.43749999997</v>
      </c>
      <c r="G19" s="28">
        <f t="shared" si="11"/>
        <v>140795.00312499996</v>
      </c>
      <c r="H19" s="28">
        <f t="shared" si="11"/>
        <v>161914.25359374995</v>
      </c>
      <c r="I19" s="28">
        <f t="shared" si="11"/>
        <v>186201.39163281242</v>
      </c>
      <c r="J19" s="28">
        <f t="shared" si="11"/>
        <v>214131.60037773426</v>
      </c>
      <c r="K19" s="28">
        <f t="shared" si="11"/>
        <v>246251.34043439437</v>
      </c>
      <c r="L19" s="28">
        <f t="shared" si="11"/>
        <v>283189.04149955348</v>
      </c>
      <c r="M19" s="28">
        <f t="shared" si="11"/>
        <v>325667.39772448648</v>
      </c>
      <c r="N19" s="234">
        <f>+SUM(B19:M19)</f>
        <v>2030116.7158877307</v>
      </c>
      <c r="O19">
        <v>326000</v>
      </c>
    </row>
    <row r="20" spans="1:15" ht="21" x14ac:dyDescent="0.25">
      <c r="A20" s="237" t="s">
        <v>192</v>
      </c>
      <c r="B20" s="532">
        <f t="shared" ref="B20:M20" si="12">SUM(B16:B19)</f>
        <v>979000</v>
      </c>
      <c r="C20" s="18">
        <f t="shared" si="12"/>
        <v>1125850</v>
      </c>
      <c r="D20" s="18">
        <f t="shared" si="12"/>
        <v>1294727.4999999998</v>
      </c>
      <c r="E20" s="18">
        <f t="shared" si="12"/>
        <v>1488936.6249999995</v>
      </c>
      <c r="F20" s="18">
        <f t="shared" si="12"/>
        <v>1712277.1187499994</v>
      </c>
      <c r="G20" s="18">
        <f t="shared" si="12"/>
        <v>1969118.6865624993</v>
      </c>
      <c r="H20" s="18">
        <f t="shared" si="12"/>
        <v>2264486.4895468741</v>
      </c>
      <c r="I20" s="18">
        <f t="shared" si="12"/>
        <v>2604159.4629789051</v>
      </c>
      <c r="J20" s="18">
        <f t="shared" si="12"/>
        <v>2994783.3824257399</v>
      </c>
      <c r="K20" s="18">
        <f t="shared" si="12"/>
        <v>3444000.8897896009</v>
      </c>
      <c r="L20" s="18">
        <f t="shared" si="12"/>
        <v>3960601.0232580407</v>
      </c>
      <c r="M20" s="18">
        <f t="shared" si="12"/>
        <v>4554691.1767467465</v>
      </c>
      <c r="N20" s="234">
        <f>+SUM(B20:M20)</f>
        <v>28392632.355058409</v>
      </c>
    </row>
    <row r="21" spans="1:15" ht="21" x14ac:dyDescent="0.25">
      <c r="A21" s="427" t="s">
        <v>193</v>
      </c>
      <c r="B21" s="533"/>
      <c r="C21" s="428"/>
      <c r="D21" s="428"/>
      <c r="E21" s="428"/>
      <c r="F21" s="428"/>
      <c r="G21" s="428"/>
      <c r="H21" s="428"/>
      <c r="I21" s="428"/>
      <c r="J21" s="428"/>
      <c r="K21" s="428"/>
      <c r="L21" s="428"/>
      <c r="M21" s="429"/>
      <c r="N21" s="234"/>
    </row>
    <row r="22" spans="1:15" ht="21" x14ac:dyDescent="0.25">
      <c r="A22" s="530" t="s">
        <v>194</v>
      </c>
      <c r="B22" s="529">
        <v>1970000</v>
      </c>
      <c r="C22" s="526">
        <f>+B22*1.15</f>
        <v>2265500</v>
      </c>
      <c r="D22" s="28">
        <f t="shared" ref="D22:M22" si="13">+C22*1.15</f>
        <v>2605325</v>
      </c>
      <c r="E22" s="28">
        <f t="shared" si="13"/>
        <v>2996123.75</v>
      </c>
      <c r="F22" s="28">
        <f t="shared" si="13"/>
        <v>3445542.3124999995</v>
      </c>
      <c r="G22" s="28">
        <f t="shared" si="13"/>
        <v>3962373.6593749993</v>
      </c>
      <c r="H22" s="28">
        <f t="shared" si="13"/>
        <v>4556729.7082812488</v>
      </c>
      <c r="I22" s="28">
        <f t="shared" si="13"/>
        <v>5240239.1645234358</v>
      </c>
      <c r="J22" s="28">
        <f t="shared" si="13"/>
        <v>6026275.0392019507</v>
      </c>
      <c r="K22" s="28">
        <f t="shared" si="13"/>
        <v>6930216.2950822432</v>
      </c>
      <c r="L22" s="28">
        <f t="shared" si="13"/>
        <v>7969748.7393445792</v>
      </c>
      <c r="M22" s="28">
        <f t="shared" si="13"/>
        <v>9165211.0502462648</v>
      </c>
      <c r="N22" s="234">
        <f>+SUM(B22:M22)</f>
        <v>57133284.71855472</v>
      </c>
      <c r="O22">
        <v>9166000</v>
      </c>
    </row>
    <row r="23" spans="1:15" ht="21" x14ac:dyDescent="0.25">
      <c r="A23" s="530" t="s">
        <v>195</v>
      </c>
      <c r="B23" s="529">
        <v>70000</v>
      </c>
      <c r="C23" s="526">
        <f t="shared" ref="C23:M23" si="14">+B23*1.15</f>
        <v>80500</v>
      </c>
      <c r="D23" s="28">
        <f t="shared" si="14"/>
        <v>92575</v>
      </c>
      <c r="E23" s="28">
        <f t="shared" si="14"/>
        <v>106461.24999999999</v>
      </c>
      <c r="F23" s="28">
        <f t="shared" si="14"/>
        <v>122430.43749999997</v>
      </c>
      <c r="G23" s="28">
        <f t="shared" si="14"/>
        <v>140795.00312499996</v>
      </c>
      <c r="H23" s="28">
        <f t="shared" si="14"/>
        <v>161914.25359374995</v>
      </c>
      <c r="I23" s="28">
        <f t="shared" si="14"/>
        <v>186201.39163281242</v>
      </c>
      <c r="J23" s="28">
        <f t="shared" si="14"/>
        <v>214131.60037773426</v>
      </c>
      <c r="K23" s="28">
        <f t="shared" si="14"/>
        <v>246251.34043439437</v>
      </c>
      <c r="L23" s="28">
        <f t="shared" si="14"/>
        <v>283189.04149955348</v>
      </c>
      <c r="M23" s="28">
        <f t="shared" si="14"/>
        <v>325667.39772448648</v>
      </c>
      <c r="N23" s="234">
        <f>+SUM(B23:M23)</f>
        <v>2030116.7158877307</v>
      </c>
      <c r="O23">
        <v>326000</v>
      </c>
    </row>
    <row r="24" spans="1:15" ht="21" x14ac:dyDescent="0.25">
      <c r="A24" s="530" t="s">
        <v>196</v>
      </c>
      <c r="B24" s="529">
        <v>117000</v>
      </c>
      <c r="C24" s="526">
        <f t="shared" ref="C24:M24" si="15">+B24*1.15</f>
        <v>134550</v>
      </c>
      <c r="D24" s="28">
        <f t="shared" si="15"/>
        <v>154732.5</v>
      </c>
      <c r="E24" s="28">
        <f t="shared" si="15"/>
        <v>177942.375</v>
      </c>
      <c r="F24" s="28">
        <f t="shared" si="15"/>
        <v>204633.73124999998</v>
      </c>
      <c r="G24" s="28">
        <f t="shared" si="15"/>
        <v>235328.79093749996</v>
      </c>
      <c r="H24" s="28">
        <f t="shared" si="15"/>
        <v>270628.10957812495</v>
      </c>
      <c r="I24" s="28">
        <f t="shared" si="15"/>
        <v>311222.32601484365</v>
      </c>
      <c r="J24" s="28">
        <f t="shared" si="15"/>
        <v>357905.6749170702</v>
      </c>
      <c r="K24" s="28">
        <f t="shared" si="15"/>
        <v>411591.5261546307</v>
      </c>
      <c r="L24" s="28">
        <f t="shared" si="15"/>
        <v>473330.25507782528</v>
      </c>
      <c r="M24" s="28">
        <f t="shared" si="15"/>
        <v>544329.79333949904</v>
      </c>
      <c r="N24" s="234">
        <f>+SUM(B24:M24)</f>
        <v>3393195.0822694944</v>
      </c>
      <c r="O24">
        <v>545000</v>
      </c>
    </row>
    <row r="25" spans="1:15" ht="21" x14ac:dyDescent="0.25">
      <c r="A25" s="237" t="s">
        <v>197</v>
      </c>
      <c r="B25" s="532">
        <f t="shared" ref="B25:M25" si="16">SUM(B22:B24)</f>
        <v>2157000</v>
      </c>
      <c r="C25" s="18">
        <f t="shared" si="16"/>
        <v>2480550</v>
      </c>
      <c r="D25" s="18">
        <f t="shared" si="16"/>
        <v>2852632.5</v>
      </c>
      <c r="E25" s="18">
        <f t="shared" si="16"/>
        <v>3280527.375</v>
      </c>
      <c r="F25" s="18">
        <f t="shared" si="16"/>
        <v>3772606.4812499997</v>
      </c>
      <c r="G25" s="18">
        <f t="shared" si="16"/>
        <v>4338497.4534374988</v>
      </c>
      <c r="H25" s="18">
        <f t="shared" si="16"/>
        <v>4989272.0714531243</v>
      </c>
      <c r="I25" s="18">
        <f t="shared" si="16"/>
        <v>5737662.8821710916</v>
      </c>
      <c r="J25" s="18">
        <f t="shared" si="16"/>
        <v>6598312.3144967547</v>
      </c>
      <c r="K25" s="18">
        <f t="shared" si="16"/>
        <v>7588059.1616712688</v>
      </c>
      <c r="L25" s="18">
        <f t="shared" si="16"/>
        <v>8726268.0359219573</v>
      </c>
      <c r="M25" s="18">
        <f t="shared" si="16"/>
        <v>10035208.24131025</v>
      </c>
      <c r="N25" s="234">
        <f>+SUM(B25:M25)</f>
        <v>62556596.51671195</v>
      </c>
    </row>
    <row r="26" spans="1:15" ht="21" x14ac:dyDescent="0.25">
      <c r="A26" s="427" t="s">
        <v>198</v>
      </c>
      <c r="B26" s="533"/>
      <c r="C26" s="428"/>
      <c r="D26" s="428"/>
      <c r="E26" s="428"/>
      <c r="F26" s="428"/>
      <c r="G26" s="428"/>
      <c r="H26" s="428"/>
      <c r="I26" s="428"/>
      <c r="J26" s="428"/>
      <c r="K26" s="428"/>
      <c r="L26" s="428"/>
      <c r="M26" s="429"/>
      <c r="N26" s="234"/>
    </row>
    <row r="27" spans="1:15" ht="21" x14ac:dyDescent="0.25">
      <c r="A27" s="530" t="s">
        <v>199</v>
      </c>
      <c r="B27" s="529">
        <v>94000</v>
      </c>
      <c r="C27" s="526">
        <f>+B27*1.15</f>
        <v>108099.99999999999</v>
      </c>
      <c r="D27" s="28">
        <f t="shared" ref="D27:M28" si="17">+C27*1.15</f>
        <v>124314.99999999997</v>
      </c>
      <c r="E27" s="28">
        <f t="shared" si="17"/>
        <v>142962.24999999994</v>
      </c>
      <c r="F27" s="28">
        <f t="shared" si="17"/>
        <v>164406.58749999991</v>
      </c>
      <c r="G27" s="28">
        <f t="shared" si="17"/>
        <v>189067.57562499988</v>
      </c>
      <c r="H27" s="28">
        <f t="shared" si="17"/>
        <v>217427.71196874985</v>
      </c>
      <c r="I27" s="28">
        <f t="shared" si="17"/>
        <v>250041.8687640623</v>
      </c>
      <c r="J27" s="28">
        <f t="shared" si="17"/>
        <v>287548.14907867165</v>
      </c>
      <c r="K27" s="28">
        <f t="shared" si="17"/>
        <v>330680.37144047237</v>
      </c>
      <c r="L27" s="28">
        <f t="shared" si="17"/>
        <v>380282.42715654318</v>
      </c>
      <c r="M27" s="28">
        <f t="shared" si="17"/>
        <v>437324.79123002465</v>
      </c>
      <c r="N27" s="234">
        <f>+SUM(B27:M27)</f>
        <v>2726156.7327635237</v>
      </c>
      <c r="O27">
        <v>438000</v>
      </c>
    </row>
    <row r="28" spans="1:15" ht="21" customHeight="1" x14ac:dyDescent="0.25">
      <c r="A28" s="530" t="s">
        <v>200</v>
      </c>
      <c r="B28" s="529">
        <v>70000</v>
      </c>
      <c r="C28" s="526">
        <f>+B28*1.15</f>
        <v>80500</v>
      </c>
      <c r="D28" s="28">
        <f t="shared" si="17"/>
        <v>92575</v>
      </c>
      <c r="E28" s="28">
        <f t="shared" si="17"/>
        <v>106461.24999999999</v>
      </c>
      <c r="F28" s="28">
        <f t="shared" si="17"/>
        <v>122430.43749999997</v>
      </c>
      <c r="G28" s="28">
        <f t="shared" si="17"/>
        <v>140795.00312499996</v>
      </c>
      <c r="H28" s="28">
        <f t="shared" si="17"/>
        <v>161914.25359374995</v>
      </c>
      <c r="I28" s="28">
        <f t="shared" si="17"/>
        <v>186201.39163281242</v>
      </c>
      <c r="J28" s="28">
        <f t="shared" si="17"/>
        <v>214131.60037773426</v>
      </c>
      <c r="K28" s="28">
        <f t="shared" si="17"/>
        <v>246251.34043439437</v>
      </c>
      <c r="L28" s="28">
        <f t="shared" si="17"/>
        <v>283189.04149955348</v>
      </c>
      <c r="M28" s="28">
        <f t="shared" si="17"/>
        <v>325667.39772448648</v>
      </c>
      <c r="N28" s="234">
        <f>+SUM(B28:M28)</f>
        <v>2030116.7158877307</v>
      </c>
      <c r="O28">
        <v>326000</v>
      </c>
    </row>
    <row r="29" spans="1:15" ht="21" x14ac:dyDescent="0.25">
      <c r="A29" s="237" t="s">
        <v>201</v>
      </c>
      <c r="B29" s="532">
        <f t="shared" ref="B29:M29" si="18">SUM(B27:B28)</f>
        <v>164000</v>
      </c>
      <c r="C29" s="18">
        <f t="shared" si="18"/>
        <v>188600</v>
      </c>
      <c r="D29" s="18">
        <f t="shared" si="18"/>
        <v>216889.99999999997</v>
      </c>
      <c r="E29" s="18">
        <f t="shared" si="18"/>
        <v>249423.49999999994</v>
      </c>
      <c r="F29" s="18">
        <f t="shared" si="18"/>
        <v>286837.02499999991</v>
      </c>
      <c r="G29" s="18">
        <f t="shared" si="18"/>
        <v>329862.57874999987</v>
      </c>
      <c r="H29" s="18">
        <f t="shared" si="18"/>
        <v>379341.96556249983</v>
      </c>
      <c r="I29" s="18">
        <f t="shared" si="18"/>
        <v>436243.26039687474</v>
      </c>
      <c r="J29" s="18">
        <f t="shared" si="18"/>
        <v>501679.74945640587</v>
      </c>
      <c r="K29" s="18">
        <f t="shared" si="18"/>
        <v>576931.71187486674</v>
      </c>
      <c r="L29" s="18">
        <f t="shared" si="18"/>
        <v>663471.46865609661</v>
      </c>
      <c r="M29" s="18">
        <f t="shared" si="18"/>
        <v>762992.18895451119</v>
      </c>
      <c r="N29" s="251">
        <f>+SUM(B29:M29)</f>
        <v>4756273.4486512542</v>
      </c>
    </row>
    <row r="30" spans="1:15" ht="21" x14ac:dyDescent="0.25">
      <c r="A30" s="238" t="s">
        <v>306</v>
      </c>
      <c r="B30" s="239">
        <f t="shared" ref="B30:G30" si="19">+B29+B25+B20+B14</f>
        <v>3840000</v>
      </c>
      <c r="C30" s="239">
        <f t="shared" si="19"/>
        <v>4416000</v>
      </c>
      <c r="D30" s="239">
        <f t="shared" si="19"/>
        <v>5078400</v>
      </c>
      <c r="E30" s="239">
        <f t="shared" si="19"/>
        <v>5840160</v>
      </c>
      <c r="F30" s="239">
        <f t="shared" si="19"/>
        <v>6716183.9999999991</v>
      </c>
      <c r="G30" s="239">
        <f t="shared" si="19"/>
        <v>7723611.5999999978</v>
      </c>
      <c r="H30" s="240">
        <f t="shared" ref="H30:M30" si="20">H29+H25+H20+H14</f>
        <v>8882153.339999998</v>
      </c>
      <c r="I30" s="240">
        <f t="shared" si="20"/>
        <v>10214476.340999994</v>
      </c>
      <c r="J30" s="240">
        <f t="shared" si="20"/>
        <v>11746647.792149993</v>
      </c>
      <c r="K30" s="240">
        <f t="shared" si="20"/>
        <v>13508644.960972494</v>
      </c>
      <c r="L30" s="240">
        <f t="shared" si="20"/>
        <v>15534941.705118366</v>
      </c>
      <c r="M30" s="259">
        <f t="shared" si="20"/>
        <v>17865182.960886117</v>
      </c>
      <c r="N30" s="255">
        <f>+SUM(B30:M30)</f>
        <v>111366402.70012695</v>
      </c>
    </row>
    <row r="31" spans="1:15" ht="21" x14ac:dyDescent="0.3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253"/>
    </row>
    <row r="32" spans="1:15" ht="21" x14ac:dyDescent="0.35">
      <c r="A32" s="241"/>
      <c r="B32" s="241"/>
      <c r="C32" s="241"/>
      <c r="D32" s="241"/>
      <c r="E32" s="241"/>
      <c r="F32" s="241"/>
      <c r="G32" s="241"/>
      <c r="H32" s="43"/>
      <c r="I32" s="43"/>
      <c r="J32" s="43"/>
      <c r="K32" s="43"/>
      <c r="L32" s="43"/>
      <c r="M32" s="43"/>
      <c r="N32" s="253"/>
    </row>
    <row r="33" spans="1:14" ht="21" x14ac:dyDescent="0.35">
      <c r="A33" s="241"/>
      <c r="B33" s="56"/>
      <c r="C33" s="56" t="s">
        <v>381</v>
      </c>
      <c r="D33" s="56"/>
      <c r="E33" s="56"/>
      <c r="F33" s="56"/>
      <c r="G33" s="56"/>
      <c r="H33" s="56"/>
      <c r="I33" s="241"/>
      <c r="J33" s="241"/>
      <c r="K33" s="241"/>
      <c r="L33" s="241"/>
      <c r="M33" s="241"/>
      <c r="N33" s="253"/>
    </row>
    <row r="34" spans="1:14" ht="21" x14ac:dyDescent="0.3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253"/>
    </row>
    <row r="35" spans="1:14" ht="21" x14ac:dyDescent="0.35">
      <c r="A35" s="56"/>
      <c r="B35" s="56"/>
      <c r="C35" s="56"/>
      <c r="D35" s="56"/>
      <c r="E35" s="56"/>
      <c r="F35" s="56"/>
      <c r="G35" s="56" t="s">
        <v>159</v>
      </c>
      <c r="H35" s="56">
        <f>+BASE_INFORMATION!B14</f>
        <v>2027</v>
      </c>
      <c r="I35" s="56"/>
      <c r="J35" s="56"/>
      <c r="K35" s="56"/>
      <c r="L35" s="56"/>
      <c r="M35" s="56"/>
      <c r="N35" s="253"/>
    </row>
    <row r="36" spans="1:14" ht="21" x14ac:dyDescent="0.35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253"/>
    </row>
    <row r="37" spans="1:14" ht="21" x14ac:dyDescent="0.35">
      <c r="A37" s="243" t="str">
        <f t="shared" ref="A37:M37" si="21">+A6</f>
        <v>LIBELLE</v>
      </c>
      <c r="B37" s="269" t="str">
        <f t="shared" si="21"/>
        <v>JANVIER</v>
      </c>
      <c r="C37" s="230" t="str">
        <f t="shared" si="21"/>
        <v>FEVRIER</v>
      </c>
      <c r="D37" s="230" t="str">
        <f t="shared" si="21"/>
        <v>MARS</v>
      </c>
      <c r="E37" s="230" t="str">
        <f t="shared" si="21"/>
        <v>AVRIL</v>
      </c>
      <c r="F37" s="230" t="str">
        <f t="shared" si="21"/>
        <v>MAI</v>
      </c>
      <c r="G37" s="230" t="str">
        <f t="shared" si="21"/>
        <v>JUIN</v>
      </c>
      <c r="H37" s="230" t="str">
        <f t="shared" si="21"/>
        <v>JUILLET</v>
      </c>
      <c r="I37" s="230" t="str">
        <f t="shared" si="21"/>
        <v>AOUT</v>
      </c>
      <c r="J37" s="230" t="str">
        <f t="shared" si="21"/>
        <v>SEPTEMBRE</v>
      </c>
      <c r="K37" s="230" t="str">
        <f t="shared" si="21"/>
        <v>OCTOBRE</v>
      </c>
      <c r="L37" s="230" t="str">
        <f t="shared" si="21"/>
        <v>NOVEMBRE</v>
      </c>
      <c r="M37" s="254" t="str">
        <f t="shared" si="21"/>
        <v>DECEMBRE</v>
      </c>
      <c r="N37" s="255" t="s">
        <v>24</v>
      </c>
    </row>
    <row r="38" spans="1:14" ht="21" x14ac:dyDescent="0.25">
      <c r="A38" s="260" t="str">
        <f t="shared" ref="A38:A61" si="22">+A7</f>
        <v>ACHATS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8"/>
      <c r="N38" s="252"/>
    </row>
    <row r="39" spans="1:14" ht="21" x14ac:dyDescent="0.35">
      <c r="A39" s="244" t="str">
        <f t="shared" si="22"/>
        <v>Achats de ,,,</v>
      </c>
      <c r="B39" s="535">
        <f>+M8</f>
        <v>1093311.9780750622</v>
      </c>
      <c r="C39" s="526">
        <f>+B39*1.15</f>
        <v>1257308.7747863214</v>
      </c>
      <c r="D39" s="28">
        <f t="shared" ref="D39:M39" si="23">+C39*1.15</f>
        <v>1445905.0910042697</v>
      </c>
      <c r="E39" s="28">
        <f t="shared" si="23"/>
        <v>1662790.85465491</v>
      </c>
      <c r="F39" s="28">
        <f t="shared" si="23"/>
        <v>1912209.4828531465</v>
      </c>
      <c r="G39" s="28">
        <f t="shared" si="23"/>
        <v>2199040.9052811181</v>
      </c>
      <c r="H39" s="28">
        <f t="shared" si="23"/>
        <v>2528897.0410732855</v>
      </c>
      <c r="I39" s="28">
        <f t="shared" si="23"/>
        <v>2908231.597234278</v>
      </c>
      <c r="J39" s="28">
        <f t="shared" si="23"/>
        <v>3344466.3368194196</v>
      </c>
      <c r="K39" s="28">
        <f t="shared" si="23"/>
        <v>3846136.2873423323</v>
      </c>
      <c r="L39" s="28">
        <f t="shared" si="23"/>
        <v>4423056.7304436816</v>
      </c>
      <c r="M39" s="28">
        <f t="shared" si="23"/>
        <v>5086515.2400102336</v>
      </c>
      <c r="N39" s="234">
        <f t="shared" ref="N39:N45" si="24">+SUM(B39:M39)</f>
        <v>31707870.319578059</v>
      </c>
    </row>
    <row r="40" spans="1:14" ht="21" x14ac:dyDescent="0.35">
      <c r="A40" s="244" t="str">
        <f t="shared" si="22"/>
        <v>Achat de fourniture de bureau</v>
      </c>
      <c r="B40" s="535">
        <f t="shared" ref="B40:B44" si="25">+M9</f>
        <v>325667.39772448648</v>
      </c>
      <c r="C40" s="526">
        <f t="shared" ref="C40:M40" si="26">+B40*1.15</f>
        <v>374517.50738315942</v>
      </c>
      <c r="D40" s="28">
        <f t="shared" si="26"/>
        <v>430695.13349063328</v>
      </c>
      <c r="E40" s="28">
        <f t="shared" si="26"/>
        <v>495299.40351422824</v>
      </c>
      <c r="F40" s="28">
        <f t="shared" si="26"/>
        <v>569594.31404136238</v>
      </c>
      <c r="G40" s="28">
        <f t="shared" si="26"/>
        <v>655033.46114756668</v>
      </c>
      <c r="H40" s="28">
        <f t="shared" si="26"/>
        <v>753288.4803197016</v>
      </c>
      <c r="I40" s="28">
        <f t="shared" si="26"/>
        <v>866281.75236765679</v>
      </c>
      <c r="J40" s="28">
        <f t="shared" si="26"/>
        <v>996224.0152228052</v>
      </c>
      <c r="K40" s="28">
        <f t="shared" si="26"/>
        <v>1145657.6175062258</v>
      </c>
      <c r="L40" s="28">
        <f t="shared" si="26"/>
        <v>1317506.2601321596</v>
      </c>
      <c r="M40" s="28">
        <f t="shared" si="26"/>
        <v>1515132.1991519835</v>
      </c>
      <c r="N40" s="234">
        <f t="shared" si="24"/>
        <v>9444897.5420019701</v>
      </c>
    </row>
    <row r="41" spans="1:14" ht="21" x14ac:dyDescent="0.35">
      <c r="A41" s="244" t="str">
        <f t="shared" si="22"/>
        <v>Consommation en Eau</v>
      </c>
      <c r="B41" s="535">
        <f t="shared" si="25"/>
        <v>218662.39561501233</v>
      </c>
      <c r="C41" s="526">
        <f t="shared" ref="C41:M41" si="27">+B41*1.15</f>
        <v>251461.75495726414</v>
      </c>
      <c r="D41" s="28">
        <f t="shared" si="27"/>
        <v>289181.01820085372</v>
      </c>
      <c r="E41" s="28">
        <f t="shared" si="27"/>
        <v>332558.17093098175</v>
      </c>
      <c r="F41" s="28">
        <f t="shared" si="27"/>
        <v>382441.89657062897</v>
      </c>
      <c r="G41" s="28">
        <f t="shared" si="27"/>
        <v>439808.18105622329</v>
      </c>
      <c r="H41" s="28">
        <f t="shared" si="27"/>
        <v>505779.40821465675</v>
      </c>
      <c r="I41" s="28">
        <f t="shared" si="27"/>
        <v>581646.31944685522</v>
      </c>
      <c r="J41" s="28">
        <f t="shared" si="27"/>
        <v>668893.26736388344</v>
      </c>
      <c r="K41" s="28">
        <f t="shared" si="27"/>
        <v>769227.25746846595</v>
      </c>
      <c r="L41" s="28">
        <f t="shared" si="27"/>
        <v>884611.34608873574</v>
      </c>
      <c r="M41" s="28">
        <f t="shared" si="27"/>
        <v>1017303.0480020461</v>
      </c>
      <c r="N41" s="234">
        <f t="shared" si="24"/>
        <v>6341574.0639156066</v>
      </c>
    </row>
    <row r="42" spans="1:14" ht="21" x14ac:dyDescent="0.35">
      <c r="A42" s="244" t="str">
        <f t="shared" si="22"/>
        <v>Consommation en Electricité</v>
      </c>
      <c r="B42" s="535">
        <f t="shared" si="25"/>
        <v>437324.79123002465</v>
      </c>
      <c r="C42" s="526">
        <f t="shared" ref="C42:M42" si="28">+B42*1.15</f>
        <v>502923.50991452829</v>
      </c>
      <c r="D42" s="28">
        <f t="shared" si="28"/>
        <v>578362.03640170745</v>
      </c>
      <c r="E42" s="28">
        <f t="shared" si="28"/>
        <v>665116.3418619635</v>
      </c>
      <c r="F42" s="28">
        <f t="shared" si="28"/>
        <v>764883.79314125795</v>
      </c>
      <c r="G42" s="28">
        <f t="shared" si="28"/>
        <v>879616.36211244657</v>
      </c>
      <c r="H42" s="28">
        <f t="shared" si="28"/>
        <v>1011558.8164293135</v>
      </c>
      <c r="I42" s="28">
        <f t="shared" si="28"/>
        <v>1163292.6388937104</v>
      </c>
      <c r="J42" s="28">
        <f t="shared" si="28"/>
        <v>1337786.5347277669</v>
      </c>
      <c r="K42" s="28">
        <f t="shared" si="28"/>
        <v>1538454.5149369319</v>
      </c>
      <c r="L42" s="28">
        <f t="shared" si="28"/>
        <v>1769222.6921774715</v>
      </c>
      <c r="M42" s="28">
        <f t="shared" si="28"/>
        <v>2034606.0960040921</v>
      </c>
      <c r="N42" s="234">
        <f t="shared" si="24"/>
        <v>12683148.127831213</v>
      </c>
    </row>
    <row r="43" spans="1:14" ht="21" x14ac:dyDescent="0.35">
      <c r="A43" s="244" t="str">
        <f t="shared" si="22"/>
        <v>Produits d'entretien</v>
      </c>
      <c r="B43" s="535">
        <f t="shared" si="25"/>
        <v>111657.39350553822</v>
      </c>
      <c r="C43" s="526">
        <f t="shared" ref="C43:M43" si="29">+B43*1.15</f>
        <v>128406.00253136894</v>
      </c>
      <c r="D43" s="28">
        <f t="shared" si="29"/>
        <v>147666.90291107426</v>
      </c>
      <c r="E43" s="28">
        <f t="shared" si="29"/>
        <v>169816.93834773538</v>
      </c>
      <c r="F43" s="28">
        <f t="shared" si="29"/>
        <v>195289.47909989569</v>
      </c>
      <c r="G43" s="28">
        <f t="shared" si="29"/>
        <v>224582.90096488001</v>
      </c>
      <c r="H43" s="28">
        <f t="shared" si="29"/>
        <v>258270.33610961199</v>
      </c>
      <c r="I43" s="28">
        <f t="shared" si="29"/>
        <v>297010.88652605377</v>
      </c>
      <c r="J43" s="28">
        <f t="shared" si="29"/>
        <v>341562.51950496179</v>
      </c>
      <c r="K43" s="28">
        <f t="shared" si="29"/>
        <v>392796.89743070601</v>
      </c>
      <c r="L43" s="28">
        <f t="shared" si="29"/>
        <v>451716.4320453119</v>
      </c>
      <c r="M43" s="28">
        <f t="shared" si="29"/>
        <v>519473.89685210865</v>
      </c>
      <c r="N43" s="234">
        <f t="shared" si="24"/>
        <v>3238250.5858292468</v>
      </c>
    </row>
    <row r="44" spans="1:14" ht="21" x14ac:dyDescent="0.35">
      <c r="A44" s="244" t="str">
        <f t="shared" si="22"/>
        <v>Carburant</v>
      </c>
      <c r="B44" s="535">
        <f t="shared" si="25"/>
        <v>325667.39772448648</v>
      </c>
      <c r="C44" s="526">
        <f t="shared" ref="C44:M44" si="30">+B44*1.15</f>
        <v>374517.50738315942</v>
      </c>
      <c r="D44" s="28">
        <f t="shared" si="30"/>
        <v>430695.13349063328</v>
      </c>
      <c r="E44" s="28">
        <f t="shared" si="30"/>
        <v>495299.40351422824</v>
      </c>
      <c r="F44" s="28">
        <f t="shared" si="30"/>
        <v>569594.31404136238</v>
      </c>
      <c r="G44" s="28">
        <f t="shared" si="30"/>
        <v>655033.46114756668</v>
      </c>
      <c r="H44" s="28">
        <f t="shared" si="30"/>
        <v>753288.4803197016</v>
      </c>
      <c r="I44" s="28">
        <f t="shared" si="30"/>
        <v>866281.75236765679</v>
      </c>
      <c r="J44" s="28">
        <f t="shared" si="30"/>
        <v>996224.0152228052</v>
      </c>
      <c r="K44" s="28">
        <f t="shared" si="30"/>
        <v>1145657.6175062258</v>
      </c>
      <c r="L44" s="28">
        <f t="shared" si="30"/>
        <v>1317506.2601321596</v>
      </c>
      <c r="M44" s="28">
        <f t="shared" si="30"/>
        <v>1515132.1991519835</v>
      </c>
      <c r="N44" s="234">
        <f t="shared" si="24"/>
        <v>9444897.5420019701</v>
      </c>
    </row>
    <row r="45" spans="1:14" ht="21" x14ac:dyDescent="0.35">
      <c r="A45" s="246" t="str">
        <f t="shared" si="22"/>
        <v>TOTAL ACHATS</v>
      </c>
      <c r="B45" s="256">
        <f t="shared" ref="B45:M45" si="31">SUM(B39:B44)</f>
        <v>2512291.3538746103</v>
      </c>
      <c r="C45" s="257">
        <f t="shared" si="31"/>
        <v>2889135.0569558013</v>
      </c>
      <c r="D45" s="257">
        <f t="shared" si="31"/>
        <v>3322505.3154991716</v>
      </c>
      <c r="E45" s="257">
        <f t="shared" si="31"/>
        <v>3820881.1128240474</v>
      </c>
      <c r="F45" s="257">
        <f t="shared" si="31"/>
        <v>4394013.2797476538</v>
      </c>
      <c r="G45" s="258">
        <f t="shared" si="31"/>
        <v>5053115.2717098016</v>
      </c>
      <c r="H45" s="249">
        <f t="shared" si="31"/>
        <v>5811082.5624662712</v>
      </c>
      <c r="I45" s="18">
        <f t="shared" si="31"/>
        <v>6682744.9468362108</v>
      </c>
      <c r="J45" s="18">
        <f t="shared" si="31"/>
        <v>7685156.688861643</v>
      </c>
      <c r="K45" s="18">
        <f t="shared" si="31"/>
        <v>8837930.1921908874</v>
      </c>
      <c r="L45" s="18">
        <f t="shared" si="31"/>
        <v>10163619.721019519</v>
      </c>
      <c r="M45" s="18">
        <f t="shared" si="31"/>
        <v>11688162.679172447</v>
      </c>
      <c r="N45" s="234">
        <f t="shared" si="24"/>
        <v>72860638.181158066</v>
      </c>
    </row>
    <row r="46" spans="1:14" ht="21" x14ac:dyDescent="0.25">
      <c r="A46" s="430" t="str">
        <f t="shared" si="22"/>
        <v>CHARGES EXTERNES</v>
      </c>
      <c r="B46" s="431"/>
      <c r="C46" s="431"/>
      <c r="D46" s="431"/>
      <c r="E46" s="431"/>
      <c r="F46" s="431"/>
      <c r="G46" s="431"/>
      <c r="H46" s="431"/>
      <c r="I46" s="431"/>
      <c r="J46" s="431"/>
      <c r="K46" s="431"/>
      <c r="L46" s="431"/>
      <c r="M46" s="432"/>
      <c r="N46" s="234"/>
    </row>
    <row r="47" spans="1:14" ht="21" x14ac:dyDescent="0.35">
      <c r="A47" s="244" t="str">
        <f t="shared" si="22"/>
        <v>Loyer</v>
      </c>
      <c r="B47" s="535">
        <f>+M16</f>
        <v>2707691.7925093016</v>
      </c>
      <c r="C47" s="526">
        <f>+B47*1.15</f>
        <v>3113845.5613856968</v>
      </c>
      <c r="D47" s="28">
        <f t="shared" ref="D47:M47" si="32">+C47*1.15</f>
        <v>3580922.395593551</v>
      </c>
      <c r="E47" s="28">
        <f t="shared" si="32"/>
        <v>4118060.7549325833</v>
      </c>
      <c r="F47" s="28">
        <f t="shared" si="32"/>
        <v>4735769.8681724705</v>
      </c>
      <c r="G47" s="28">
        <f t="shared" si="32"/>
        <v>5446135.3483983409</v>
      </c>
      <c r="H47" s="28">
        <f t="shared" si="32"/>
        <v>6263055.6506580915</v>
      </c>
      <c r="I47" s="28">
        <f t="shared" si="32"/>
        <v>7202513.9982568044</v>
      </c>
      <c r="J47" s="28">
        <f t="shared" si="32"/>
        <v>8282891.0979953241</v>
      </c>
      <c r="K47" s="28">
        <f t="shared" si="32"/>
        <v>9525324.7626946215</v>
      </c>
      <c r="L47" s="28">
        <f t="shared" si="32"/>
        <v>10954123.477098813</v>
      </c>
      <c r="M47" s="28">
        <f t="shared" si="32"/>
        <v>12597241.998663634</v>
      </c>
      <c r="N47" s="234">
        <f>+SUM(B47:M47)</f>
        <v>78527576.706359237</v>
      </c>
    </row>
    <row r="48" spans="1:14" ht="21" x14ac:dyDescent="0.35">
      <c r="A48" s="244" t="str">
        <f t="shared" si="22"/>
        <v>Frais de télécommunication</v>
      </c>
      <c r="B48" s="535">
        <f t="shared" ref="B48:B50" si="33">+M17</f>
        <v>544329.79333949904</v>
      </c>
      <c r="C48" s="526">
        <f t="shared" ref="C48:M48" si="34">+B48*1.15</f>
        <v>625979.26234042388</v>
      </c>
      <c r="D48" s="28">
        <f t="shared" si="34"/>
        <v>719876.15169148741</v>
      </c>
      <c r="E48" s="28">
        <f t="shared" si="34"/>
        <v>827857.57444521051</v>
      </c>
      <c r="F48" s="28">
        <f t="shared" si="34"/>
        <v>952036.21061199205</v>
      </c>
      <c r="G48" s="28">
        <f t="shared" si="34"/>
        <v>1094841.6422037908</v>
      </c>
      <c r="H48" s="28">
        <f t="shared" si="34"/>
        <v>1259067.8885343594</v>
      </c>
      <c r="I48" s="28">
        <f t="shared" si="34"/>
        <v>1447928.0718145133</v>
      </c>
      <c r="J48" s="28">
        <f t="shared" si="34"/>
        <v>1665117.2825866903</v>
      </c>
      <c r="K48" s="28">
        <f t="shared" si="34"/>
        <v>1914884.8749746936</v>
      </c>
      <c r="L48" s="28">
        <f t="shared" si="34"/>
        <v>2202117.6062208973</v>
      </c>
      <c r="M48" s="28">
        <f t="shared" si="34"/>
        <v>2532435.2471540319</v>
      </c>
      <c r="N48" s="234">
        <f>+SUM(B48:M48)</f>
        <v>15786471.605917592</v>
      </c>
    </row>
    <row r="49" spans="1:14" ht="21" x14ac:dyDescent="0.35">
      <c r="A49" s="244" t="str">
        <f t="shared" si="22"/>
        <v>Voyages et Déplacements</v>
      </c>
      <c r="B49" s="535">
        <f t="shared" si="33"/>
        <v>977002.19317345927</v>
      </c>
      <c r="C49" s="526">
        <f t="shared" ref="C49:M49" si="35">+B49*1.15</f>
        <v>1123552.5221494781</v>
      </c>
      <c r="D49" s="28">
        <f t="shared" si="35"/>
        <v>1292085.4004718997</v>
      </c>
      <c r="E49" s="28">
        <f t="shared" si="35"/>
        <v>1485898.2105426844</v>
      </c>
      <c r="F49" s="28">
        <f t="shared" si="35"/>
        <v>1708782.9421240869</v>
      </c>
      <c r="G49" s="28">
        <f t="shared" si="35"/>
        <v>1965100.3834426997</v>
      </c>
      <c r="H49" s="28">
        <f t="shared" si="35"/>
        <v>2259865.4409591043</v>
      </c>
      <c r="I49" s="28">
        <f t="shared" si="35"/>
        <v>2598845.2571029696</v>
      </c>
      <c r="J49" s="28">
        <f t="shared" si="35"/>
        <v>2988672.0456684148</v>
      </c>
      <c r="K49" s="28">
        <f t="shared" si="35"/>
        <v>3436972.8525186768</v>
      </c>
      <c r="L49" s="28">
        <f t="shared" si="35"/>
        <v>3952518.7803964778</v>
      </c>
      <c r="M49" s="28">
        <f t="shared" si="35"/>
        <v>4545396.5974559495</v>
      </c>
      <c r="N49" s="234">
        <f>+SUM(B49:M49)</f>
        <v>28334692.626005903</v>
      </c>
    </row>
    <row r="50" spans="1:14" ht="21" x14ac:dyDescent="0.35">
      <c r="A50" s="244" t="str">
        <f t="shared" si="22"/>
        <v>Pétits materiels et outillages</v>
      </c>
      <c r="B50" s="535">
        <f t="shared" si="33"/>
        <v>325667.39772448648</v>
      </c>
      <c r="C50" s="526">
        <f t="shared" ref="C50:M50" si="36">+B50*1.15</f>
        <v>374517.50738315942</v>
      </c>
      <c r="D50" s="28">
        <f t="shared" si="36"/>
        <v>430695.13349063328</v>
      </c>
      <c r="E50" s="28">
        <f t="shared" si="36"/>
        <v>495299.40351422824</v>
      </c>
      <c r="F50" s="28">
        <f t="shared" si="36"/>
        <v>569594.31404136238</v>
      </c>
      <c r="G50" s="28">
        <f t="shared" si="36"/>
        <v>655033.46114756668</v>
      </c>
      <c r="H50" s="28">
        <f t="shared" si="36"/>
        <v>753288.4803197016</v>
      </c>
      <c r="I50" s="28">
        <f t="shared" si="36"/>
        <v>866281.75236765679</v>
      </c>
      <c r="J50" s="28">
        <f t="shared" si="36"/>
        <v>996224.0152228052</v>
      </c>
      <c r="K50" s="28">
        <f t="shared" si="36"/>
        <v>1145657.6175062258</v>
      </c>
      <c r="L50" s="28">
        <f t="shared" si="36"/>
        <v>1317506.2601321596</v>
      </c>
      <c r="M50" s="28">
        <f t="shared" si="36"/>
        <v>1515132.1991519835</v>
      </c>
      <c r="N50" s="234">
        <f>+SUM(B50:M50)</f>
        <v>9444897.5420019701</v>
      </c>
    </row>
    <row r="51" spans="1:14" ht="21" x14ac:dyDescent="0.25">
      <c r="A51" s="248" t="str">
        <f t="shared" si="22"/>
        <v>TOTAL CHARGES EXTERNES</v>
      </c>
      <c r="B51" s="534">
        <f t="shared" ref="B51:M51" si="37">SUM(B47:B50)</f>
        <v>4554691.1767467465</v>
      </c>
      <c r="C51" s="18">
        <f t="shared" si="37"/>
        <v>5237894.8532587579</v>
      </c>
      <c r="D51" s="18">
        <f t="shared" si="37"/>
        <v>6023579.0812475709</v>
      </c>
      <c r="E51" s="18">
        <f t="shared" si="37"/>
        <v>6927115.943434706</v>
      </c>
      <c r="F51" s="18">
        <f t="shared" si="37"/>
        <v>7966183.3349499116</v>
      </c>
      <c r="G51" s="18">
        <f t="shared" si="37"/>
        <v>9161110.8351923991</v>
      </c>
      <c r="H51" s="18">
        <f t="shared" si="37"/>
        <v>10535277.460471258</v>
      </c>
      <c r="I51" s="18">
        <f t="shared" si="37"/>
        <v>12115569.079541944</v>
      </c>
      <c r="J51" s="18">
        <f t="shared" si="37"/>
        <v>13932904.441473233</v>
      </c>
      <c r="K51" s="18">
        <f t="shared" si="37"/>
        <v>16022840.107694218</v>
      </c>
      <c r="L51" s="18">
        <f t="shared" si="37"/>
        <v>18426266.123848349</v>
      </c>
      <c r="M51" s="18">
        <f t="shared" si="37"/>
        <v>21190206.042425595</v>
      </c>
      <c r="N51" s="234">
        <f>+SUM(B51:M51)</f>
        <v>132093638.48028469</v>
      </c>
    </row>
    <row r="52" spans="1:14" ht="21" x14ac:dyDescent="0.25">
      <c r="A52" s="430" t="str">
        <f t="shared" si="22"/>
        <v>SALAIRES ET CHARGES</v>
      </c>
      <c r="B52" s="431"/>
      <c r="C52" s="431"/>
      <c r="D52" s="431"/>
      <c r="E52" s="431"/>
      <c r="F52" s="431"/>
      <c r="G52" s="431"/>
      <c r="H52" s="431"/>
      <c r="I52" s="431"/>
      <c r="J52" s="431"/>
      <c r="K52" s="431"/>
      <c r="L52" s="431"/>
      <c r="M52" s="432"/>
      <c r="N52" s="234"/>
    </row>
    <row r="53" spans="1:14" ht="21" x14ac:dyDescent="0.35">
      <c r="A53" s="244" t="str">
        <f t="shared" si="22"/>
        <v>Rémunération de personnel</v>
      </c>
      <c r="B53" s="535">
        <f>+M22</f>
        <v>9165211.0502462648</v>
      </c>
      <c r="C53" s="526">
        <f>+B53*1.15</f>
        <v>10539992.707783204</v>
      </c>
      <c r="D53" s="28">
        <f t="shared" ref="D53:M53" si="38">+C53*1.15</f>
        <v>12120991.613950683</v>
      </c>
      <c r="E53" s="28">
        <f t="shared" si="38"/>
        <v>13939140.356043285</v>
      </c>
      <c r="F53" s="28">
        <f t="shared" si="38"/>
        <v>16030011.409449777</v>
      </c>
      <c r="G53" s="28">
        <f t="shared" si="38"/>
        <v>18434513.120867241</v>
      </c>
      <c r="H53" s="28">
        <f t="shared" si="38"/>
        <v>21199690.088997327</v>
      </c>
      <c r="I53" s="28">
        <f t="shared" si="38"/>
        <v>24379643.602346923</v>
      </c>
      <c r="J53" s="28">
        <f t="shared" si="38"/>
        <v>28036590.142698959</v>
      </c>
      <c r="K53" s="28">
        <f t="shared" si="38"/>
        <v>32242078.664103799</v>
      </c>
      <c r="L53" s="28">
        <f t="shared" si="38"/>
        <v>37078390.463719368</v>
      </c>
      <c r="M53" s="28">
        <f t="shared" si="38"/>
        <v>42640149.033277273</v>
      </c>
      <c r="N53" s="234">
        <f>+SUM(B53:M53)</f>
        <v>265806402.25348413</v>
      </c>
    </row>
    <row r="54" spans="1:14" ht="21" x14ac:dyDescent="0.35">
      <c r="A54" s="244" t="str">
        <f t="shared" si="22"/>
        <v>Transport de personnel</v>
      </c>
      <c r="B54" s="535">
        <f t="shared" ref="B54:B55" si="39">+M23</f>
        <v>325667.39772448648</v>
      </c>
      <c r="C54" s="526">
        <f t="shared" ref="C54:M54" si="40">+B54*1.15</f>
        <v>374517.50738315942</v>
      </c>
      <c r="D54" s="28">
        <f t="shared" si="40"/>
        <v>430695.13349063328</v>
      </c>
      <c r="E54" s="28">
        <f t="shared" si="40"/>
        <v>495299.40351422824</v>
      </c>
      <c r="F54" s="28">
        <f t="shared" si="40"/>
        <v>569594.31404136238</v>
      </c>
      <c r="G54" s="28">
        <f t="shared" si="40"/>
        <v>655033.46114756668</v>
      </c>
      <c r="H54" s="28">
        <f t="shared" si="40"/>
        <v>753288.4803197016</v>
      </c>
      <c r="I54" s="28">
        <f t="shared" si="40"/>
        <v>866281.75236765679</v>
      </c>
      <c r="J54" s="28">
        <f t="shared" si="40"/>
        <v>996224.0152228052</v>
      </c>
      <c r="K54" s="28">
        <f t="shared" si="40"/>
        <v>1145657.6175062258</v>
      </c>
      <c r="L54" s="28">
        <f t="shared" si="40"/>
        <v>1317506.2601321596</v>
      </c>
      <c r="M54" s="28">
        <f t="shared" si="40"/>
        <v>1515132.1991519835</v>
      </c>
      <c r="N54" s="234">
        <f>+SUM(B54:M54)</f>
        <v>9444897.5420019701</v>
      </c>
    </row>
    <row r="55" spans="1:14" ht="21" x14ac:dyDescent="0.35">
      <c r="A55" s="244" t="str">
        <f t="shared" si="22"/>
        <v>Charges sociales</v>
      </c>
      <c r="B55" s="535">
        <f t="shared" si="39"/>
        <v>544329.79333949904</v>
      </c>
      <c r="C55" s="526">
        <f t="shared" ref="C55:M55" si="41">+B55*1.15</f>
        <v>625979.26234042388</v>
      </c>
      <c r="D55" s="28">
        <f t="shared" si="41"/>
        <v>719876.15169148741</v>
      </c>
      <c r="E55" s="28">
        <f t="shared" si="41"/>
        <v>827857.57444521051</v>
      </c>
      <c r="F55" s="28">
        <f t="shared" si="41"/>
        <v>952036.21061199205</v>
      </c>
      <c r="G55" s="28">
        <f t="shared" si="41"/>
        <v>1094841.6422037908</v>
      </c>
      <c r="H55" s="28">
        <f t="shared" si="41"/>
        <v>1259067.8885343594</v>
      </c>
      <c r="I55" s="28">
        <f t="shared" si="41"/>
        <v>1447928.0718145133</v>
      </c>
      <c r="J55" s="28">
        <f t="shared" si="41"/>
        <v>1665117.2825866903</v>
      </c>
      <c r="K55" s="28">
        <f t="shared" si="41"/>
        <v>1914884.8749746936</v>
      </c>
      <c r="L55" s="28">
        <f t="shared" si="41"/>
        <v>2202117.6062208973</v>
      </c>
      <c r="M55" s="28">
        <f t="shared" si="41"/>
        <v>2532435.2471540319</v>
      </c>
      <c r="N55" s="234">
        <f>+SUM(B55:M55)</f>
        <v>15786471.605917592</v>
      </c>
    </row>
    <row r="56" spans="1:14" ht="21" x14ac:dyDescent="0.35">
      <c r="A56" s="246" t="str">
        <f t="shared" si="22"/>
        <v>TOTAL SALAIRES ET CHARGES</v>
      </c>
      <c r="B56" s="534">
        <f t="shared" ref="B56:M56" si="42">SUM(B53:B55)</f>
        <v>10035208.24131025</v>
      </c>
      <c r="C56" s="18">
        <f t="shared" si="42"/>
        <v>11540489.477506788</v>
      </c>
      <c r="D56" s="18">
        <f t="shared" si="42"/>
        <v>13271562.899132803</v>
      </c>
      <c r="E56" s="18">
        <f t="shared" si="42"/>
        <v>15262297.334002724</v>
      </c>
      <c r="F56" s="18">
        <f t="shared" si="42"/>
        <v>17551641.934103131</v>
      </c>
      <c r="G56" s="18">
        <f t="shared" si="42"/>
        <v>20184388.224218596</v>
      </c>
      <c r="H56" s="18">
        <f t="shared" si="42"/>
        <v>23212046.457851388</v>
      </c>
      <c r="I56" s="18">
        <f t="shared" si="42"/>
        <v>26693853.426529095</v>
      </c>
      <c r="J56" s="18">
        <f t="shared" si="42"/>
        <v>30697931.440508455</v>
      </c>
      <c r="K56" s="18">
        <f t="shared" si="42"/>
        <v>35302621.156584717</v>
      </c>
      <c r="L56" s="18">
        <f t="shared" si="42"/>
        <v>40598014.330072418</v>
      </c>
      <c r="M56" s="18">
        <f t="shared" si="42"/>
        <v>46687716.479583293</v>
      </c>
      <c r="N56" s="234">
        <f>+SUM(B56:M56)</f>
        <v>291037771.40140367</v>
      </c>
    </row>
    <row r="57" spans="1:14" ht="21" x14ac:dyDescent="0.25">
      <c r="A57" s="430" t="str">
        <f t="shared" si="22"/>
        <v>IMPOTS ET TAXES</v>
      </c>
      <c r="B57" s="431"/>
      <c r="C57" s="431"/>
      <c r="D57" s="431"/>
      <c r="E57" s="431"/>
      <c r="F57" s="431"/>
      <c r="G57" s="431"/>
      <c r="H57" s="431"/>
      <c r="I57" s="431"/>
      <c r="J57" s="431"/>
      <c r="K57" s="431"/>
      <c r="L57" s="431"/>
      <c r="M57" s="432"/>
      <c r="N57" s="234"/>
    </row>
    <row r="58" spans="1:14" ht="21" x14ac:dyDescent="0.35">
      <c r="A58" s="244" t="str">
        <f t="shared" si="22"/>
        <v>Taxe sur les salaires</v>
      </c>
      <c r="B58" s="245">
        <f>+M27</f>
        <v>437324.79123002465</v>
      </c>
      <c r="C58" s="526">
        <f>+B58*1.15</f>
        <v>502923.50991452829</v>
      </c>
      <c r="D58" s="28">
        <f t="shared" ref="D58:M58" si="43">+C58*1.15</f>
        <v>578362.03640170745</v>
      </c>
      <c r="E58" s="28">
        <f t="shared" si="43"/>
        <v>665116.3418619635</v>
      </c>
      <c r="F58" s="28">
        <f t="shared" si="43"/>
        <v>764883.79314125795</v>
      </c>
      <c r="G58" s="28">
        <f t="shared" si="43"/>
        <v>879616.36211244657</v>
      </c>
      <c r="H58" s="28">
        <f t="shared" si="43"/>
        <v>1011558.8164293135</v>
      </c>
      <c r="I58" s="28">
        <f t="shared" si="43"/>
        <v>1163292.6388937104</v>
      </c>
      <c r="J58" s="28">
        <f t="shared" si="43"/>
        <v>1337786.5347277669</v>
      </c>
      <c r="K58" s="28">
        <f t="shared" si="43"/>
        <v>1538454.5149369319</v>
      </c>
      <c r="L58" s="28">
        <f t="shared" si="43"/>
        <v>1769222.6921774715</v>
      </c>
      <c r="M58" s="28">
        <f t="shared" si="43"/>
        <v>2034606.0960040921</v>
      </c>
      <c r="N58" s="234">
        <f>+SUM(B58:M58)</f>
        <v>12683148.127831213</v>
      </c>
    </row>
    <row r="59" spans="1:14" ht="21" x14ac:dyDescent="0.35">
      <c r="A59" s="244" t="str">
        <f t="shared" si="22"/>
        <v>Autres taxes</v>
      </c>
      <c r="B59" s="245">
        <f>+M28</f>
        <v>325667.39772448648</v>
      </c>
      <c r="C59" s="526">
        <f>+B59*1.15</f>
        <v>374517.50738315942</v>
      </c>
      <c r="D59" s="28">
        <f t="shared" ref="D59:M59" si="44">+C59*1.15</f>
        <v>430695.13349063328</v>
      </c>
      <c r="E59" s="28">
        <f t="shared" si="44"/>
        <v>495299.40351422824</v>
      </c>
      <c r="F59" s="28">
        <f t="shared" si="44"/>
        <v>569594.31404136238</v>
      </c>
      <c r="G59" s="28">
        <f t="shared" si="44"/>
        <v>655033.46114756668</v>
      </c>
      <c r="H59" s="28">
        <f t="shared" si="44"/>
        <v>753288.4803197016</v>
      </c>
      <c r="I59" s="28">
        <f t="shared" si="44"/>
        <v>866281.75236765679</v>
      </c>
      <c r="J59" s="28">
        <f t="shared" si="44"/>
        <v>996224.0152228052</v>
      </c>
      <c r="K59" s="28">
        <f t="shared" si="44"/>
        <v>1145657.6175062258</v>
      </c>
      <c r="L59" s="28">
        <f t="shared" si="44"/>
        <v>1317506.2601321596</v>
      </c>
      <c r="M59" s="28">
        <f t="shared" si="44"/>
        <v>1515132.1991519835</v>
      </c>
      <c r="N59" s="234">
        <f>+SUM(B59:M59)</f>
        <v>9444897.5420019701</v>
      </c>
    </row>
    <row r="60" spans="1:14" ht="21" x14ac:dyDescent="0.35">
      <c r="A60" s="246" t="str">
        <f t="shared" si="22"/>
        <v>TOTAL IMPOTS ET TAXES</v>
      </c>
      <c r="B60" s="249">
        <f t="shared" ref="B60:M60" si="45">SUM(B58:B59)</f>
        <v>762992.18895451119</v>
      </c>
      <c r="C60" s="18">
        <f t="shared" si="45"/>
        <v>877441.01729768771</v>
      </c>
      <c r="D60" s="18">
        <f t="shared" si="45"/>
        <v>1009057.1698923407</v>
      </c>
      <c r="E60" s="18">
        <f t="shared" si="45"/>
        <v>1160415.7453761918</v>
      </c>
      <c r="F60" s="18">
        <f t="shared" si="45"/>
        <v>1334478.1071826203</v>
      </c>
      <c r="G60" s="18">
        <f t="shared" si="45"/>
        <v>1534649.8232600132</v>
      </c>
      <c r="H60" s="18">
        <f t="shared" si="45"/>
        <v>1764847.2967490151</v>
      </c>
      <c r="I60" s="18">
        <f t="shared" si="45"/>
        <v>2029574.3912613671</v>
      </c>
      <c r="J60" s="18">
        <f t="shared" si="45"/>
        <v>2334010.5499505722</v>
      </c>
      <c r="K60" s="18">
        <f t="shared" si="45"/>
        <v>2684112.132443158</v>
      </c>
      <c r="L60" s="18">
        <f t="shared" si="45"/>
        <v>3086728.9523096308</v>
      </c>
      <c r="M60" s="18">
        <f t="shared" si="45"/>
        <v>3549738.2951560756</v>
      </c>
      <c r="N60" s="251">
        <f>+SUM(B60:M60)</f>
        <v>22128045.669833183</v>
      </c>
    </row>
    <row r="61" spans="1:14" ht="21" x14ac:dyDescent="0.35">
      <c r="A61" s="246" t="str">
        <f t="shared" si="22"/>
        <v>TOTAL CHARGES D'EXPLOITATIONS</v>
      </c>
      <c r="B61" s="250">
        <f t="shared" ref="B61:G61" si="46">+B60+B56+B51+B45</f>
        <v>17865182.960886117</v>
      </c>
      <c r="C61" s="239">
        <f t="shared" si="46"/>
        <v>20544960.405019037</v>
      </c>
      <c r="D61" s="239">
        <f t="shared" si="46"/>
        <v>23626704.465771887</v>
      </c>
      <c r="E61" s="239">
        <f t="shared" si="46"/>
        <v>27170710.135637671</v>
      </c>
      <c r="F61" s="239">
        <f t="shared" si="46"/>
        <v>31246316.655983318</v>
      </c>
      <c r="G61" s="239">
        <f t="shared" si="46"/>
        <v>35933264.154380806</v>
      </c>
      <c r="H61" s="240">
        <f t="shared" ref="H61:M61" si="47">H60+H56+H51+H45</f>
        <v>41323253.777537934</v>
      </c>
      <c r="I61" s="240">
        <f t="shared" si="47"/>
        <v>47521741.844168618</v>
      </c>
      <c r="J61" s="240">
        <f t="shared" si="47"/>
        <v>54650003.120793909</v>
      </c>
      <c r="K61" s="240">
        <f t="shared" si="47"/>
        <v>62847503.588912979</v>
      </c>
      <c r="L61" s="240">
        <f t="shared" si="47"/>
        <v>72274629.127249911</v>
      </c>
      <c r="M61" s="259">
        <f t="shared" si="47"/>
        <v>83115823.496337399</v>
      </c>
      <c r="N61" s="255">
        <f>+SUM(B61:M61)</f>
        <v>518120093.73267955</v>
      </c>
    </row>
    <row r="62" spans="1:14" ht="21" x14ac:dyDescent="0.3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253"/>
    </row>
    <row r="63" spans="1:14" ht="21" x14ac:dyDescent="0.35">
      <c r="A63" s="241"/>
      <c r="B63" s="241"/>
      <c r="C63" s="241"/>
      <c r="D63" s="241"/>
      <c r="E63" s="241"/>
      <c r="F63" s="241"/>
      <c r="G63" s="241"/>
      <c r="H63" s="43"/>
      <c r="I63" s="43"/>
      <c r="J63" s="43"/>
      <c r="K63" s="43"/>
      <c r="L63" s="43"/>
      <c r="M63" s="43"/>
      <c r="N63" s="253"/>
    </row>
    <row r="64" spans="1:14" ht="21" x14ac:dyDescent="0.35">
      <c r="A64" s="241"/>
      <c r="B64" s="56"/>
      <c r="C64" s="56" t="s">
        <v>380</v>
      </c>
      <c r="D64" s="56"/>
      <c r="E64" s="56"/>
      <c r="F64" s="56"/>
      <c r="G64" s="56"/>
      <c r="H64" s="56"/>
      <c r="I64" s="241"/>
      <c r="J64" s="241"/>
      <c r="K64" s="241"/>
      <c r="L64" s="241"/>
      <c r="M64" s="241"/>
      <c r="N64" s="253"/>
    </row>
    <row r="65" spans="1:14" ht="21" x14ac:dyDescent="0.35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253"/>
    </row>
    <row r="66" spans="1:14" ht="21" x14ac:dyDescent="0.35">
      <c r="A66" s="56"/>
      <c r="B66" s="56"/>
      <c r="C66" s="56"/>
      <c r="D66" s="56"/>
      <c r="E66" s="56"/>
      <c r="F66" s="56"/>
      <c r="G66" s="56" t="s">
        <v>159</v>
      </c>
      <c r="H66" s="56">
        <f>+BASE_INFORMATION!C14</f>
        <v>2028</v>
      </c>
      <c r="I66" s="56"/>
      <c r="J66" s="56"/>
      <c r="K66" s="56"/>
      <c r="L66" s="56"/>
      <c r="M66" s="56"/>
      <c r="N66" s="253"/>
    </row>
    <row r="67" spans="1:14" ht="21" x14ac:dyDescent="0.35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253"/>
    </row>
    <row r="68" spans="1:14" ht="21" x14ac:dyDescent="0.35">
      <c r="A68" s="243" t="str">
        <f t="shared" ref="A68:M68" si="48">+A37</f>
        <v>LIBELLE</v>
      </c>
      <c r="B68" s="269" t="str">
        <f t="shared" si="48"/>
        <v>JANVIER</v>
      </c>
      <c r="C68" s="230" t="str">
        <f t="shared" si="48"/>
        <v>FEVRIER</v>
      </c>
      <c r="D68" s="230" t="str">
        <f t="shared" si="48"/>
        <v>MARS</v>
      </c>
      <c r="E68" s="230" t="str">
        <f t="shared" si="48"/>
        <v>AVRIL</v>
      </c>
      <c r="F68" s="230" t="str">
        <f t="shared" si="48"/>
        <v>MAI</v>
      </c>
      <c r="G68" s="230" t="str">
        <f t="shared" si="48"/>
        <v>JUIN</v>
      </c>
      <c r="H68" s="230" t="str">
        <f t="shared" si="48"/>
        <v>JUILLET</v>
      </c>
      <c r="I68" s="230" t="str">
        <f t="shared" si="48"/>
        <v>AOUT</v>
      </c>
      <c r="J68" s="230" t="str">
        <f t="shared" si="48"/>
        <v>SEPTEMBRE</v>
      </c>
      <c r="K68" s="230" t="str">
        <f t="shared" si="48"/>
        <v>OCTOBRE</v>
      </c>
      <c r="L68" s="230" t="str">
        <f t="shared" si="48"/>
        <v>NOVEMBRE</v>
      </c>
      <c r="M68" s="254" t="str">
        <f t="shared" si="48"/>
        <v>DECEMBRE</v>
      </c>
      <c r="N68" s="255" t="s">
        <v>24</v>
      </c>
    </row>
    <row r="69" spans="1:14" ht="21" x14ac:dyDescent="0.25">
      <c r="A69" s="433" t="str">
        <f t="shared" ref="A69:A92" si="49">+A38</f>
        <v>ACHATS</v>
      </c>
      <c r="B69" s="434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5"/>
      <c r="N69" s="252"/>
    </row>
    <row r="70" spans="1:14" ht="21" x14ac:dyDescent="0.35">
      <c r="A70" s="244" t="str">
        <f t="shared" si="49"/>
        <v>Achats de ,,,</v>
      </c>
      <c r="B70" s="245">
        <f>+M39</f>
        <v>5086515.2400102336</v>
      </c>
      <c r="C70" s="526">
        <f>+B70*1.15</f>
        <v>5849492.5260117678</v>
      </c>
      <c r="D70" s="28">
        <f t="shared" ref="D70:M70" si="50">+C70*1.15</f>
        <v>6726916.4049135325</v>
      </c>
      <c r="E70" s="28">
        <f t="shared" si="50"/>
        <v>7735953.8656505616</v>
      </c>
      <c r="F70" s="28">
        <f t="shared" si="50"/>
        <v>8896346.9454981461</v>
      </c>
      <c r="G70" s="28">
        <f t="shared" si="50"/>
        <v>10230798.987322867</v>
      </c>
      <c r="H70" s="28">
        <f t="shared" si="50"/>
        <v>11765418.835421296</v>
      </c>
      <c r="I70" s="28">
        <f t="shared" si="50"/>
        <v>13530231.66073449</v>
      </c>
      <c r="J70" s="28">
        <f t="shared" si="50"/>
        <v>15559766.409844661</v>
      </c>
      <c r="K70" s="28">
        <f t="shared" si="50"/>
        <v>17893731.371321358</v>
      </c>
      <c r="L70" s="28">
        <f t="shared" si="50"/>
        <v>20577791.077019561</v>
      </c>
      <c r="M70" s="28">
        <f t="shared" si="50"/>
        <v>23664459.738572493</v>
      </c>
      <c r="N70" s="234">
        <f t="shared" ref="N70:N76" si="51">+SUM(B70:M70)</f>
        <v>147517423.06232098</v>
      </c>
    </row>
    <row r="71" spans="1:14" ht="21" x14ac:dyDescent="0.35">
      <c r="A71" s="244" t="str">
        <f t="shared" si="49"/>
        <v>Achat de fourniture de bureau</v>
      </c>
      <c r="B71" s="245">
        <f t="shared" ref="B71:B75" si="52">+M40</f>
        <v>1515132.1991519835</v>
      </c>
      <c r="C71" s="526">
        <f t="shared" ref="C71:M71" si="53">+B71*1.15</f>
        <v>1742402.029024781</v>
      </c>
      <c r="D71" s="28">
        <f t="shared" si="53"/>
        <v>2003762.333378498</v>
      </c>
      <c r="E71" s="28">
        <f t="shared" si="53"/>
        <v>2304326.6833852725</v>
      </c>
      <c r="F71" s="28">
        <f t="shared" si="53"/>
        <v>2649975.685893063</v>
      </c>
      <c r="G71" s="28">
        <f t="shared" si="53"/>
        <v>3047472.0387770222</v>
      </c>
      <c r="H71" s="28">
        <f t="shared" si="53"/>
        <v>3504592.8445935752</v>
      </c>
      <c r="I71" s="28">
        <f t="shared" si="53"/>
        <v>4030281.7712826114</v>
      </c>
      <c r="J71" s="28">
        <f t="shared" si="53"/>
        <v>4634824.0369750028</v>
      </c>
      <c r="K71" s="28">
        <f t="shared" si="53"/>
        <v>5330047.6425212529</v>
      </c>
      <c r="L71" s="28">
        <f t="shared" si="53"/>
        <v>6129554.7888994403</v>
      </c>
      <c r="M71" s="28">
        <f t="shared" si="53"/>
        <v>7048988.0072343554</v>
      </c>
      <c r="N71" s="234">
        <f t="shared" si="51"/>
        <v>43941360.061116867</v>
      </c>
    </row>
    <row r="72" spans="1:14" ht="21" x14ac:dyDescent="0.35">
      <c r="A72" s="244" t="str">
        <f t="shared" si="49"/>
        <v>Consommation en Eau</v>
      </c>
      <c r="B72" s="245">
        <f t="shared" si="52"/>
        <v>1017303.0480020461</v>
      </c>
      <c r="C72" s="526">
        <f t="shared" ref="C72:M72" si="54">+B72*1.15</f>
        <v>1169898.505202353</v>
      </c>
      <c r="D72" s="28">
        <f t="shared" si="54"/>
        <v>1345383.2809827058</v>
      </c>
      <c r="E72" s="28">
        <f t="shared" si="54"/>
        <v>1547190.7731301114</v>
      </c>
      <c r="F72" s="28">
        <f t="shared" si="54"/>
        <v>1779269.389099628</v>
      </c>
      <c r="G72" s="28">
        <f t="shared" si="54"/>
        <v>2046159.7974645719</v>
      </c>
      <c r="H72" s="28">
        <f t="shared" si="54"/>
        <v>2353083.7670842577</v>
      </c>
      <c r="I72" s="28">
        <f t="shared" si="54"/>
        <v>2706046.332146896</v>
      </c>
      <c r="J72" s="28">
        <f t="shared" si="54"/>
        <v>3111953.2819689303</v>
      </c>
      <c r="K72" s="28">
        <f t="shared" si="54"/>
        <v>3578746.2742642695</v>
      </c>
      <c r="L72" s="28">
        <f t="shared" si="54"/>
        <v>4115558.2154039098</v>
      </c>
      <c r="M72" s="28">
        <f t="shared" si="54"/>
        <v>4732891.9477144955</v>
      </c>
      <c r="N72" s="234">
        <f t="shared" si="51"/>
        <v>29503484.612464175</v>
      </c>
    </row>
    <row r="73" spans="1:14" ht="21" x14ac:dyDescent="0.35">
      <c r="A73" s="244" t="str">
        <f t="shared" si="49"/>
        <v>Consommation en Electricité</v>
      </c>
      <c r="B73" s="245">
        <f t="shared" si="52"/>
        <v>2034606.0960040921</v>
      </c>
      <c r="C73" s="526">
        <f t="shared" ref="C73:M73" si="55">+B73*1.15</f>
        <v>2339797.010404706</v>
      </c>
      <c r="D73" s="28">
        <f t="shared" si="55"/>
        <v>2690766.5619654115</v>
      </c>
      <c r="E73" s="28">
        <f t="shared" si="55"/>
        <v>3094381.5462602228</v>
      </c>
      <c r="F73" s="28">
        <f t="shared" si="55"/>
        <v>3558538.7781992559</v>
      </c>
      <c r="G73" s="28">
        <f t="shared" si="55"/>
        <v>4092319.5949291438</v>
      </c>
      <c r="H73" s="28">
        <f t="shared" si="55"/>
        <v>4706167.5341685154</v>
      </c>
      <c r="I73" s="28">
        <f t="shared" si="55"/>
        <v>5412092.6642937921</v>
      </c>
      <c r="J73" s="28">
        <f t="shared" si="55"/>
        <v>6223906.5639378605</v>
      </c>
      <c r="K73" s="28">
        <f t="shared" si="55"/>
        <v>7157492.548528539</v>
      </c>
      <c r="L73" s="28">
        <f t="shared" si="55"/>
        <v>8231116.4308078196</v>
      </c>
      <c r="M73" s="28">
        <f t="shared" si="55"/>
        <v>9465783.8954289909</v>
      </c>
      <c r="N73" s="234">
        <f t="shared" si="51"/>
        <v>59006969.224928349</v>
      </c>
    </row>
    <row r="74" spans="1:14" ht="21" x14ac:dyDescent="0.35">
      <c r="A74" s="244" t="str">
        <f t="shared" si="49"/>
        <v>Produits d'entretien</v>
      </c>
      <c r="B74" s="245">
        <f t="shared" si="52"/>
        <v>519473.89685210865</v>
      </c>
      <c r="C74" s="526">
        <f t="shared" ref="C74:M74" si="56">+B74*1.15</f>
        <v>597394.98137992492</v>
      </c>
      <c r="D74" s="28">
        <f t="shared" si="56"/>
        <v>687004.22858691355</v>
      </c>
      <c r="E74" s="28">
        <f t="shared" si="56"/>
        <v>790054.86287495052</v>
      </c>
      <c r="F74" s="28">
        <f t="shared" si="56"/>
        <v>908563.09230619296</v>
      </c>
      <c r="G74" s="28">
        <f t="shared" si="56"/>
        <v>1044847.5561521219</v>
      </c>
      <c r="H74" s="28">
        <f t="shared" si="56"/>
        <v>1201574.6895749401</v>
      </c>
      <c r="I74" s="28">
        <f t="shared" si="56"/>
        <v>1381810.8930111811</v>
      </c>
      <c r="J74" s="28">
        <f t="shared" si="56"/>
        <v>1589082.5269628582</v>
      </c>
      <c r="K74" s="28">
        <f t="shared" si="56"/>
        <v>1827444.9060072866</v>
      </c>
      <c r="L74" s="28">
        <f t="shared" si="56"/>
        <v>2101561.6419083793</v>
      </c>
      <c r="M74" s="28">
        <f t="shared" si="56"/>
        <v>2416795.888194636</v>
      </c>
      <c r="N74" s="234">
        <f t="shared" si="51"/>
        <v>15065609.163811492</v>
      </c>
    </row>
    <row r="75" spans="1:14" ht="21" x14ac:dyDescent="0.35">
      <c r="A75" s="244" t="str">
        <f t="shared" si="49"/>
        <v>Carburant</v>
      </c>
      <c r="B75" s="245">
        <f t="shared" si="52"/>
        <v>1515132.1991519835</v>
      </c>
      <c r="C75" s="526">
        <f t="shared" ref="C75:M75" si="57">+B75*1.15</f>
        <v>1742402.029024781</v>
      </c>
      <c r="D75" s="28">
        <f t="shared" si="57"/>
        <v>2003762.333378498</v>
      </c>
      <c r="E75" s="28">
        <f t="shared" si="57"/>
        <v>2304326.6833852725</v>
      </c>
      <c r="F75" s="28">
        <f t="shared" si="57"/>
        <v>2649975.685893063</v>
      </c>
      <c r="G75" s="28">
        <f t="shared" si="57"/>
        <v>3047472.0387770222</v>
      </c>
      <c r="H75" s="28">
        <f t="shared" si="57"/>
        <v>3504592.8445935752</v>
      </c>
      <c r="I75" s="28">
        <f t="shared" si="57"/>
        <v>4030281.7712826114</v>
      </c>
      <c r="J75" s="28">
        <f t="shared" si="57"/>
        <v>4634824.0369750028</v>
      </c>
      <c r="K75" s="28">
        <f t="shared" si="57"/>
        <v>5330047.6425212529</v>
      </c>
      <c r="L75" s="28">
        <f t="shared" si="57"/>
        <v>6129554.7888994403</v>
      </c>
      <c r="M75" s="28">
        <f t="shared" si="57"/>
        <v>7048988.0072343554</v>
      </c>
      <c r="N75" s="234">
        <f t="shared" si="51"/>
        <v>43941360.061116867</v>
      </c>
    </row>
    <row r="76" spans="1:14" ht="21" x14ac:dyDescent="0.35">
      <c r="A76" s="264" t="str">
        <f t="shared" si="49"/>
        <v>TOTAL ACHATS</v>
      </c>
      <c r="B76" s="247">
        <f t="shared" ref="B76:M76" si="58">SUM(B70:B75)</f>
        <v>11688162.679172447</v>
      </c>
      <c r="C76" s="236">
        <f t="shared" si="58"/>
        <v>13441387.081048314</v>
      </c>
      <c r="D76" s="236">
        <f t="shared" si="58"/>
        <v>15457595.143205561</v>
      </c>
      <c r="E76" s="236">
        <f t="shared" si="58"/>
        <v>17776234.414686393</v>
      </c>
      <c r="F76" s="236">
        <f t="shared" si="58"/>
        <v>20442669.576889347</v>
      </c>
      <c r="G76" s="236">
        <f t="shared" si="58"/>
        <v>23509070.01342275</v>
      </c>
      <c r="H76" s="236">
        <f t="shared" si="58"/>
        <v>27035430.515436158</v>
      </c>
      <c r="I76" s="236">
        <f t="shared" si="58"/>
        <v>31090745.092751585</v>
      </c>
      <c r="J76" s="236">
        <f t="shared" si="58"/>
        <v>35754356.856664315</v>
      </c>
      <c r="K76" s="236">
        <f t="shared" si="58"/>
        <v>41117510.385163963</v>
      </c>
      <c r="L76" s="236">
        <f t="shared" si="58"/>
        <v>47285136.942938551</v>
      </c>
      <c r="M76" s="236">
        <f t="shared" si="58"/>
        <v>54377907.484379329</v>
      </c>
      <c r="N76" s="234">
        <f t="shared" si="51"/>
        <v>338976206.18575877</v>
      </c>
    </row>
    <row r="77" spans="1:14" ht="21" x14ac:dyDescent="0.25">
      <c r="A77" s="436" t="str">
        <f t="shared" si="49"/>
        <v>CHARGES EXTERNES</v>
      </c>
      <c r="B77" s="436"/>
      <c r="C77" s="436"/>
      <c r="D77" s="436"/>
      <c r="E77" s="436"/>
      <c r="F77" s="436"/>
      <c r="G77" s="436"/>
      <c r="H77" s="436"/>
      <c r="I77" s="436"/>
      <c r="J77" s="436"/>
      <c r="K77" s="436"/>
      <c r="L77" s="436"/>
      <c r="M77" s="436"/>
      <c r="N77" s="265"/>
    </row>
    <row r="78" spans="1:14" ht="21" x14ac:dyDescent="0.35">
      <c r="A78" s="266" t="str">
        <f t="shared" si="49"/>
        <v>Loyer</v>
      </c>
      <c r="B78" s="267">
        <f>+M47</f>
        <v>12597241.998663634</v>
      </c>
      <c r="C78" s="526">
        <f>+B78*1.15</f>
        <v>14486828.298463179</v>
      </c>
      <c r="D78" s="28">
        <f t="shared" ref="D78:M78" si="59">+C78*1.15</f>
        <v>16659852.543232655</v>
      </c>
      <c r="E78" s="28">
        <f t="shared" si="59"/>
        <v>19158830.424717553</v>
      </c>
      <c r="F78" s="28">
        <f t="shared" si="59"/>
        <v>22032654.988425184</v>
      </c>
      <c r="G78" s="28">
        <f t="shared" si="59"/>
        <v>25337553.23668896</v>
      </c>
      <c r="H78" s="28">
        <f t="shared" si="59"/>
        <v>29138186.222192302</v>
      </c>
      <c r="I78" s="28">
        <f t="shared" si="59"/>
        <v>33508914.155521147</v>
      </c>
      <c r="J78" s="28">
        <f t="shared" si="59"/>
        <v>38535251.278849319</v>
      </c>
      <c r="K78" s="28">
        <f t="shared" si="59"/>
        <v>44315538.970676713</v>
      </c>
      <c r="L78" s="28">
        <f t="shared" si="59"/>
        <v>50962869.816278219</v>
      </c>
      <c r="M78" s="28">
        <f t="shared" si="59"/>
        <v>58607300.288719945</v>
      </c>
      <c r="N78" s="234">
        <f>+SUM(B78:M78)</f>
        <v>365341022.2224288</v>
      </c>
    </row>
    <row r="79" spans="1:14" ht="21" x14ac:dyDescent="0.35">
      <c r="A79" s="244" t="str">
        <f t="shared" si="49"/>
        <v>Frais de télécommunication</v>
      </c>
      <c r="B79" s="267">
        <f t="shared" ref="B79:B81" si="60">+M48</f>
        <v>2532435.2471540319</v>
      </c>
      <c r="C79" s="526">
        <f t="shared" ref="C79:M79" si="61">+B79*1.15</f>
        <v>2912300.5342271365</v>
      </c>
      <c r="D79" s="28">
        <f t="shared" si="61"/>
        <v>3349145.6143612065</v>
      </c>
      <c r="E79" s="28">
        <f t="shared" si="61"/>
        <v>3851517.4565153872</v>
      </c>
      <c r="F79" s="28">
        <f t="shared" si="61"/>
        <v>4429245.0749926949</v>
      </c>
      <c r="G79" s="28">
        <f t="shared" si="61"/>
        <v>5093631.8362415992</v>
      </c>
      <c r="H79" s="28">
        <f t="shared" si="61"/>
        <v>5857676.6116778385</v>
      </c>
      <c r="I79" s="28">
        <f t="shared" si="61"/>
        <v>6736328.103429514</v>
      </c>
      <c r="J79" s="28">
        <f t="shared" si="61"/>
        <v>7746777.3189439401</v>
      </c>
      <c r="K79" s="28">
        <f t="shared" si="61"/>
        <v>8908793.9167855307</v>
      </c>
      <c r="L79" s="28">
        <f t="shared" si="61"/>
        <v>10245113.00430336</v>
      </c>
      <c r="M79" s="28">
        <f t="shared" si="61"/>
        <v>11781879.954948863</v>
      </c>
      <c r="N79" s="234">
        <f>+SUM(B79:M79)</f>
        <v>73444844.673581094</v>
      </c>
    </row>
    <row r="80" spans="1:14" ht="21" x14ac:dyDescent="0.35">
      <c r="A80" s="244" t="str">
        <f t="shared" si="49"/>
        <v>Voyages et Déplacements</v>
      </c>
      <c r="B80" s="267">
        <f t="shared" si="60"/>
        <v>4545396.5974559495</v>
      </c>
      <c r="C80" s="526">
        <f t="shared" ref="C80:M80" si="62">+B80*1.15</f>
        <v>5227206.0870743413</v>
      </c>
      <c r="D80" s="28">
        <f t="shared" si="62"/>
        <v>6011287.0001354916</v>
      </c>
      <c r="E80" s="28">
        <f t="shared" si="62"/>
        <v>6912980.0501558147</v>
      </c>
      <c r="F80" s="28">
        <f t="shared" si="62"/>
        <v>7949927.0576791866</v>
      </c>
      <c r="G80" s="28">
        <f t="shared" si="62"/>
        <v>9142416.1163310632</v>
      </c>
      <c r="H80" s="28">
        <f t="shared" si="62"/>
        <v>10513778.533780722</v>
      </c>
      <c r="I80" s="28">
        <f t="shared" si="62"/>
        <v>12090845.313847829</v>
      </c>
      <c r="J80" s="28">
        <f t="shared" si="62"/>
        <v>13904472.110925002</v>
      </c>
      <c r="K80" s="28">
        <f t="shared" si="62"/>
        <v>15990142.927563751</v>
      </c>
      <c r="L80" s="28">
        <f t="shared" si="62"/>
        <v>18388664.366698314</v>
      </c>
      <c r="M80" s="28">
        <f t="shared" si="62"/>
        <v>21146964.021703061</v>
      </c>
      <c r="N80" s="234">
        <f>+SUM(B80:M80)</f>
        <v>131824080.18335053</v>
      </c>
    </row>
    <row r="81" spans="1:14" ht="21" x14ac:dyDescent="0.35">
      <c r="A81" s="244" t="str">
        <f t="shared" si="49"/>
        <v>Pétits materiels et outillages</v>
      </c>
      <c r="B81" s="267">
        <f t="shared" si="60"/>
        <v>1515132.1991519835</v>
      </c>
      <c r="C81" s="526">
        <f t="shared" ref="C81:M81" si="63">+B81*1.15</f>
        <v>1742402.029024781</v>
      </c>
      <c r="D81" s="28">
        <f t="shared" si="63"/>
        <v>2003762.333378498</v>
      </c>
      <c r="E81" s="28">
        <f t="shared" si="63"/>
        <v>2304326.6833852725</v>
      </c>
      <c r="F81" s="28">
        <f t="shared" si="63"/>
        <v>2649975.685893063</v>
      </c>
      <c r="G81" s="28">
        <f t="shared" si="63"/>
        <v>3047472.0387770222</v>
      </c>
      <c r="H81" s="28">
        <f t="shared" si="63"/>
        <v>3504592.8445935752</v>
      </c>
      <c r="I81" s="28">
        <f t="shared" si="63"/>
        <v>4030281.7712826114</v>
      </c>
      <c r="J81" s="28">
        <f t="shared" si="63"/>
        <v>4634824.0369750028</v>
      </c>
      <c r="K81" s="28">
        <f t="shared" si="63"/>
        <v>5330047.6425212529</v>
      </c>
      <c r="L81" s="28">
        <f t="shared" si="63"/>
        <v>6129554.7888994403</v>
      </c>
      <c r="M81" s="28">
        <f t="shared" si="63"/>
        <v>7048988.0072343554</v>
      </c>
      <c r="N81" s="234">
        <f>+SUM(B81:M81)</f>
        <v>43941360.061116867</v>
      </c>
    </row>
    <row r="82" spans="1:14" ht="21" x14ac:dyDescent="0.25">
      <c r="A82" s="248" t="str">
        <f t="shared" si="49"/>
        <v>TOTAL CHARGES EXTERNES</v>
      </c>
      <c r="B82" s="249">
        <f t="shared" ref="B82:M82" si="64">SUM(B78:B81)</f>
        <v>21190206.042425595</v>
      </c>
      <c r="C82" s="18">
        <f t="shared" si="64"/>
        <v>24368736.948789433</v>
      </c>
      <c r="D82" s="18">
        <f t="shared" si="64"/>
        <v>28024047.491107851</v>
      </c>
      <c r="E82" s="18">
        <f t="shared" si="64"/>
        <v>32227654.614774026</v>
      </c>
      <c r="F82" s="18">
        <f t="shared" si="64"/>
        <v>37061802.806990132</v>
      </c>
      <c r="G82" s="18">
        <f t="shared" si="64"/>
        <v>42621073.228038646</v>
      </c>
      <c r="H82" s="18">
        <f t="shared" si="64"/>
        <v>49014234.212244444</v>
      </c>
      <c r="I82" s="18">
        <f t="shared" si="64"/>
        <v>56366369.344081104</v>
      </c>
      <c r="J82" s="18">
        <f t="shared" si="64"/>
        <v>64821324.745693266</v>
      </c>
      <c r="K82" s="18">
        <f t="shared" si="64"/>
        <v>74544523.457547247</v>
      </c>
      <c r="L82" s="18">
        <f t="shared" si="64"/>
        <v>85726201.976179332</v>
      </c>
      <c r="M82" s="18">
        <f t="shared" si="64"/>
        <v>98585132.272606224</v>
      </c>
      <c r="N82" s="234">
        <f>+SUM(B82:M82)</f>
        <v>614551307.1404773</v>
      </c>
    </row>
    <row r="83" spans="1:14" ht="21" x14ac:dyDescent="0.25">
      <c r="A83" s="430" t="str">
        <f t="shared" si="49"/>
        <v>SALAIRES ET CHARGES</v>
      </c>
      <c r="B83" s="431"/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2"/>
      <c r="N83" s="234"/>
    </row>
    <row r="84" spans="1:14" ht="21" x14ac:dyDescent="0.35">
      <c r="A84" s="244" t="str">
        <f t="shared" si="49"/>
        <v>Rémunération de personnel</v>
      </c>
      <c r="B84" s="245">
        <f>+M53</f>
        <v>42640149.033277273</v>
      </c>
      <c r="C84" s="526">
        <f>+B84*1.15</f>
        <v>49036171.388268858</v>
      </c>
      <c r="D84" s="28">
        <f t="shared" ref="D84:M84" si="65">+C84*1.15</f>
        <v>56391597.096509181</v>
      </c>
      <c r="E84" s="28">
        <f t="shared" si="65"/>
        <v>64850336.660985552</v>
      </c>
      <c r="F84" s="28">
        <f t="shared" si="65"/>
        <v>74577887.160133377</v>
      </c>
      <c r="G84" s="28">
        <f t="shared" si="65"/>
        <v>85764570.234153375</v>
      </c>
      <c r="H84" s="28">
        <f t="shared" si="65"/>
        <v>98629255.769276381</v>
      </c>
      <c r="I84" s="28">
        <f t="shared" si="65"/>
        <v>113423644.13466783</v>
      </c>
      <c r="J84" s="28">
        <f t="shared" si="65"/>
        <v>130437190.75486799</v>
      </c>
      <c r="K84" s="28">
        <f t="shared" si="65"/>
        <v>150002769.36809817</v>
      </c>
      <c r="L84" s="28">
        <f t="shared" si="65"/>
        <v>172503184.7733129</v>
      </c>
      <c r="M84" s="28">
        <f t="shared" si="65"/>
        <v>198378662.48930982</v>
      </c>
      <c r="N84" s="234">
        <f>+SUM(B84:M84)</f>
        <v>1236635418.8628609</v>
      </c>
    </row>
    <row r="85" spans="1:14" ht="21" x14ac:dyDescent="0.35">
      <c r="A85" s="244" t="str">
        <f t="shared" si="49"/>
        <v>Transport de personnel</v>
      </c>
      <c r="B85" s="245">
        <f t="shared" ref="B85:B86" si="66">+M54</f>
        <v>1515132.1991519835</v>
      </c>
      <c r="C85" s="526">
        <f t="shared" ref="C85:M85" si="67">+B85*1.15</f>
        <v>1742402.029024781</v>
      </c>
      <c r="D85" s="28">
        <f t="shared" si="67"/>
        <v>2003762.333378498</v>
      </c>
      <c r="E85" s="28">
        <f t="shared" si="67"/>
        <v>2304326.6833852725</v>
      </c>
      <c r="F85" s="28">
        <f t="shared" si="67"/>
        <v>2649975.685893063</v>
      </c>
      <c r="G85" s="28">
        <f t="shared" si="67"/>
        <v>3047472.0387770222</v>
      </c>
      <c r="H85" s="28">
        <f t="shared" si="67"/>
        <v>3504592.8445935752</v>
      </c>
      <c r="I85" s="28">
        <f t="shared" si="67"/>
        <v>4030281.7712826114</v>
      </c>
      <c r="J85" s="28">
        <f t="shared" si="67"/>
        <v>4634824.0369750028</v>
      </c>
      <c r="K85" s="28">
        <f t="shared" si="67"/>
        <v>5330047.6425212529</v>
      </c>
      <c r="L85" s="28">
        <f t="shared" si="67"/>
        <v>6129554.7888994403</v>
      </c>
      <c r="M85" s="28">
        <f t="shared" si="67"/>
        <v>7048988.0072343554</v>
      </c>
      <c r="N85" s="234">
        <f>+SUM(B85:M85)</f>
        <v>43941360.061116867</v>
      </c>
    </row>
    <row r="86" spans="1:14" ht="21" x14ac:dyDescent="0.35">
      <c r="A86" s="244" t="str">
        <f t="shared" si="49"/>
        <v>Charges sociales</v>
      </c>
      <c r="B86" s="245">
        <f t="shared" si="66"/>
        <v>2532435.2471540319</v>
      </c>
      <c r="C86" s="526">
        <f t="shared" ref="C86:M86" si="68">+B86*1.15</f>
        <v>2912300.5342271365</v>
      </c>
      <c r="D86" s="28">
        <f t="shared" si="68"/>
        <v>3349145.6143612065</v>
      </c>
      <c r="E86" s="28">
        <f t="shared" si="68"/>
        <v>3851517.4565153872</v>
      </c>
      <c r="F86" s="28">
        <f t="shared" si="68"/>
        <v>4429245.0749926949</v>
      </c>
      <c r="G86" s="28">
        <f t="shared" si="68"/>
        <v>5093631.8362415992</v>
      </c>
      <c r="H86" s="28">
        <f t="shared" si="68"/>
        <v>5857676.6116778385</v>
      </c>
      <c r="I86" s="28">
        <f t="shared" si="68"/>
        <v>6736328.103429514</v>
      </c>
      <c r="J86" s="28">
        <f t="shared" si="68"/>
        <v>7746777.3189439401</v>
      </c>
      <c r="K86" s="28">
        <f t="shared" si="68"/>
        <v>8908793.9167855307</v>
      </c>
      <c r="L86" s="28">
        <f t="shared" si="68"/>
        <v>10245113.00430336</v>
      </c>
      <c r="M86" s="28">
        <f t="shared" si="68"/>
        <v>11781879.954948863</v>
      </c>
      <c r="N86" s="234">
        <f>+SUM(B86:M86)</f>
        <v>73444844.673581094</v>
      </c>
    </row>
    <row r="87" spans="1:14" ht="21" x14ac:dyDescent="0.35">
      <c r="A87" s="246" t="str">
        <f t="shared" si="49"/>
        <v>TOTAL SALAIRES ET CHARGES</v>
      </c>
      <c r="B87" s="249">
        <f t="shared" ref="B87:M87" si="69">SUM(B84:B86)</f>
        <v>46687716.479583293</v>
      </c>
      <c r="C87" s="18">
        <f t="shared" si="69"/>
        <v>53690873.951520771</v>
      </c>
      <c r="D87" s="18">
        <f t="shared" si="69"/>
        <v>61744505.044248886</v>
      </c>
      <c r="E87" s="18">
        <f t="shared" si="69"/>
        <v>71006180.800886214</v>
      </c>
      <c r="F87" s="18">
        <f t="shared" si="69"/>
        <v>81657107.921019137</v>
      </c>
      <c r="G87" s="18">
        <f t="shared" si="69"/>
        <v>93905674.109172001</v>
      </c>
      <c r="H87" s="18">
        <f t="shared" si="69"/>
        <v>107991525.22554779</v>
      </c>
      <c r="I87" s="18">
        <f t="shared" si="69"/>
        <v>124190254.00937995</v>
      </c>
      <c r="J87" s="18">
        <f t="shared" si="69"/>
        <v>142818792.11078694</v>
      </c>
      <c r="K87" s="18">
        <f t="shared" si="69"/>
        <v>164241610.92740497</v>
      </c>
      <c r="L87" s="18">
        <f t="shared" si="69"/>
        <v>188877852.56651571</v>
      </c>
      <c r="M87" s="18">
        <f t="shared" si="69"/>
        <v>217209530.45149305</v>
      </c>
      <c r="N87" s="234">
        <f>+SUM(B87:M87)</f>
        <v>1354021623.5975587</v>
      </c>
    </row>
    <row r="88" spans="1:14" ht="21" x14ac:dyDescent="0.25">
      <c r="A88" s="430" t="str">
        <f t="shared" si="49"/>
        <v>IMPOTS ET TAXES</v>
      </c>
      <c r="B88" s="431"/>
      <c r="C88" s="431"/>
      <c r="D88" s="431"/>
      <c r="E88" s="431"/>
      <c r="F88" s="431"/>
      <c r="G88" s="431"/>
      <c r="H88" s="431"/>
      <c r="I88" s="431"/>
      <c r="J88" s="431"/>
      <c r="K88" s="431"/>
      <c r="L88" s="431"/>
      <c r="M88" s="432"/>
      <c r="N88" s="234"/>
    </row>
    <row r="89" spans="1:14" ht="21" x14ac:dyDescent="0.35">
      <c r="A89" s="244" t="str">
        <f t="shared" si="49"/>
        <v>Taxe sur les salaires</v>
      </c>
      <c r="B89" s="245">
        <f>+M58</f>
        <v>2034606.0960040921</v>
      </c>
      <c r="C89" s="526">
        <f>+B89*1.15</f>
        <v>2339797.010404706</v>
      </c>
      <c r="D89" s="28">
        <f t="shared" ref="D89:M89" si="70">+C89*1.15</f>
        <v>2690766.5619654115</v>
      </c>
      <c r="E89" s="28">
        <f t="shared" si="70"/>
        <v>3094381.5462602228</v>
      </c>
      <c r="F89" s="28">
        <f t="shared" si="70"/>
        <v>3558538.7781992559</v>
      </c>
      <c r="G89" s="28">
        <f t="shared" si="70"/>
        <v>4092319.5949291438</v>
      </c>
      <c r="H89" s="28">
        <f t="shared" si="70"/>
        <v>4706167.5341685154</v>
      </c>
      <c r="I89" s="28">
        <f t="shared" si="70"/>
        <v>5412092.6642937921</v>
      </c>
      <c r="J89" s="28">
        <f t="shared" si="70"/>
        <v>6223906.5639378605</v>
      </c>
      <c r="K89" s="28">
        <f t="shared" si="70"/>
        <v>7157492.548528539</v>
      </c>
      <c r="L89" s="28">
        <f t="shared" si="70"/>
        <v>8231116.4308078196</v>
      </c>
      <c r="M89" s="28">
        <f t="shared" si="70"/>
        <v>9465783.8954289909</v>
      </c>
      <c r="N89" s="234">
        <f>+SUM(B89:M89)</f>
        <v>59006969.224928349</v>
      </c>
    </row>
    <row r="90" spans="1:14" ht="21" x14ac:dyDescent="0.35">
      <c r="A90" s="244" t="str">
        <f t="shared" si="49"/>
        <v>Autres taxes</v>
      </c>
      <c r="B90" s="245">
        <f>+M59</f>
        <v>1515132.1991519835</v>
      </c>
      <c r="C90" s="526">
        <f>+B90*1.15</f>
        <v>1742402.029024781</v>
      </c>
      <c r="D90" s="28">
        <f t="shared" ref="D90:M90" si="71">+C90*1.15</f>
        <v>2003762.333378498</v>
      </c>
      <c r="E90" s="28">
        <f t="shared" si="71"/>
        <v>2304326.6833852725</v>
      </c>
      <c r="F90" s="28">
        <f t="shared" si="71"/>
        <v>2649975.685893063</v>
      </c>
      <c r="G90" s="28">
        <f t="shared" si="71"/>
        <v>3047472.0387770222</v>
      </c>
      <c r="H90" s="28">
        <f t="shared" si="71"/>
        <v>3504592.8445935752</v>
      </c>
      <c r="I90" s="28">
        <f t="shared" si="71"/>
        <v>4030281.7712826114</v>
      </c>
      <c r="J90" s="28">
        <f t="shared" si="71"/>
        <v>4634824.0369750028</v>
      </c>
      <c r="K90" s="28">
        <f t="shared" si="71"/>
        <v>5330047.6425212529</v>
      </c>
      <c r="L90" s="28">
        <f t="shared" si="71"/>
        <v>6129554.7888994403</v>
      </c>
      <c r="M90" s="28">
        <f t="shared" si="71"/>
        <v>7048988.0072343554</v>
      </c>
      <c r="N90" s="234">
        <f>+SUM(B90:M90)</f>
        <v>43941360.061116867</v>
      </c>
    </row>
    <row r="91" spans="1:14" ht="21" x14ac:dyDescent="0.35">
      <c r="A91" s="246" t="str">
        <f t="shared" si="49"/>
        <v>TOTAL IMPOTS ET TAXES</v>
      </c>
      <c r="B91" s="249">
        <f t="shared" ref="B91:M91" si="72">SUM(B89:B90)</f>
        <v>3549738.2951560756</v>
      </c>
      <c r="C91" s="18">
        <f t="shared" si="72"/>
        <v>4082199.0394294867</v>
      </c>
      <c r="D91" s="18">
        <f t="shared" si="72"/>
        <v>4694528.895343909</v>
      </c>
      <c r="E91" s="18">
        <f t="shared" si="72"/>
        <v>5398708.2296454953</v>
      </c>
      <c r="F91" s="18">
        <f t="shared" si="72"/>
        <v>6208514.4640923189</v>
      </c>
      <c r="G91" s="18">
        <f t="shared" si="72"/>
        <v>7139791.6337061655</v>
      </c>
      <c r="H91" s="18">
        <f t="shared" si="72"/>
        <v>8210760.3787620906</v>
      </c>
      <c r="I91" s="18">
        <f t="shared" si="72"/>
        <v>9442374.4355764035</v>
      </c>
      <c r="J91" s="18">
        <f t="shared" si="72"/>
        <v>10858730.600912863</v>
      </c>
      <c r="K91" s="18">
        <f t="shared" si="72"/>
        <v>12487540.191049792</v>
      </c>
      <c r="L91" s="18">
        <f t="shared" si="72"/>
        <v>14360671.21970726</v>
      </c>
      <c r="M91" s="18">
        <f t="shared" si="72"/>
        <v>16514771.902663346</v>
      </c>
      <c r="N91" s="251">
        <f>+SUM(B91:M91)</f>
        <v>102948329.28604521</v>
      </c>
    </row>
    <row r="92" spans="1:14" ht="21.75" thickBot="1" x14ac:dyDescent="0.4">
      <c r="A92" s="246" t="str">
        <f t="shared" si="49"/>
        <v>TOTAL CHARGES D'EXPLOITATIONS</v>
      </c>
      <c r="B92" s="250">
        <f t="shared" ref="B92:G92" si="73">+B91+B87+B82+B76</f>
        <v>83115823.496337399</v>
      </c>
      <c r="C92" s="239">
        <f t="shared" si="73"/>
        <v>95583197.020787999</v>
      </c>
      <c r="D92" s="239">
        <f t="shared" si="73"/>
        <v>109920676.57390621</v>
      </c>
      <c r="E92" s="239">
        <f t="shared" si="73"/>
        <v>126408778.05999212</v>
      </c>
      <c r="F92" s="239">
        <f t="shared" si="73"/>
        <v>145370094.76899093</v>
      </c>
      <c r="G92" s="239">
        <f t="shared" si="73"/>
        <v>167175608.98433957</v>
      </c>
      <c r="H92" s="240">
        <f t="shared" ref="H92:M92" si="74">H91+H87+H82+H76</f>
        <v>192251950.33199048</v>
      </c>
      <c r="I92" s="240">
        <f t="shared" si="74"/>
        <v>221089742.88178906</v>
      </c>
      <c r="J92" s="240">
        <f t="shared" si="74"/>
        <v>254253204.31405741</v>
      </c>
      <c r="K92" s="240">
        <f t="shared" si="74"/>
        <v>292391184.96116596</v>
      </c>
      <c r="L92" s="240">
        <f t="shared" si="74"/>
        <v>336249862.70534086</v>
      </c>
      <c r="M92" s="259">
        <f t="shared" si="74"/>
        <v>386687342.11114198</v>
      </c>
      <c r="N92" s="263">
        <f>+SUM(B92:M92)</f>
        <v>2410497466.2098398</v>
      </c>
    </row>
    <row r="93" spans="1:14" ht="21" x14ac:dyDescent="0.3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253"/>
    </row>
    <row r="94" spans="1:14" ht="21" x14ac:dyDescent="0.35">
      <c r="A94" s="241"/>
      <c r="B94" s="241"/>
      <c r="C94" s="241"/>
      <c r="D94" s="241"/>
      <c r="E94" s="241"/>
      <c r="F94" s="241"/>
      <c r="G94" s="241"/>
      <c r="H94" s="43"/>
      <c r="I94" s="43"/>
      <c r="J94" s="43"/>
      <c r="K94" s="43"/>
      <c r="L94" s="43"/>
      <c r="M94" s="43"/>
      <c r="N94" s="253"/>
    </row>
    <row r="95" spans="1:14" ht="21" x14ac:dyDescent="0.35">
      <c r="A95" s="241"/>
      <c r="B95" s="56"/>
      <c r="C95" s="56" t="s">
        <v>379</v>
      </c>
      <c r="D95" s="56"/>
      <c r="E95" s="56"/>
      <c r="F95" s="56"/>
      <c r="G95" s="56"/>
      <c r="H95" s="56"/>
      <c r="I95" s="241"/>
      <c r="J95" s="241"/>
      <c r="K95" s="241"/>
      <c r="L95" s="241"/>
      <c r="M95" s="241"/>
      <c r="N95" s="253"/>
    </row>
    <row r="96" spans="1:14" ht="21" x14ac:dyDescent="0.35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253"/>
    </row>
    <row r="97" spans="1:14" ht="21" x14ac:dyDescent="0.35">
      <c r="A97" s="56"/>
      <c r="B97" s="56"/>
      <c r="C97" s="56"/>
      <c r="D97" s="56"/>
      <c r="E97" s="56"/>
      <c r="F97" s="56"/>
      <c r="G97" s="56" t="s">
        <v>159</v>
      </c>
      <c r="H97" s="56">
        <f>+BASE_INFORMATION!D14</f>
        <v>2029</v>
      </c>
      <c r="I97" s="56"/>
      <c r="J97" s="56"/>
      <c r="K97" s="56"/>
      <c r="L97" s="56"/>
      <c r="M97" s="56"/>
      <c r="N97" s="253"/>
    </row>
    <row r="98" spans="1:14" ht="21" x14ac:dyDescent="0.35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253"/>
    </row>
    <row r="99" spans="1:14" ht="21" x14ac:dyDescent="0.35">
      <c r="A99" s="243" t="str">
        <f t="shared" ref="A99:M99" si="75">+A68</f>
        <v>LIBELLE</v>
      </c>
      <c r="B99" s="269" t="str">
        <f t="shared" si="75"/>
        <v>JANVIER</v>
      </c>
      <c r="C99" s="230" t="str">
        <f t="shared" si="75"/>
        <v>FEVRIER</v>
      </c>
      <c r="D99" s="230" t="str">
        <f t="shared" si="75"/>
        <v>MARS</v>
      </c>
      <c r="E99" s="230" t="str">
        <f t="shared" si="75"/>
        <v>AVRIL</v>
      </c>
      <c r="F99" s="230" t="str">
        <f t="shared" si="75"/>
        <v>MAI</v>
      </c>
      <c r="G99" s="230" t="str">
        <f t="shared" si="75"/>
        <v>JUIN</v>
      </c>
      <c r="H99" s="230" t="str">
        <f t="shared" si="75"/>
        <v>JUILLET</v>
      </c>
      <c r="I99" s="230" t="str">
        <f t="shared" si="75"/>
        <v>AOUT</v>
      </c>
      <c r="J99" s="230" t="str">
        <f t="shared" si="75"/>
        <v>SEPTEMBRE</v>
      </c>
      <c r="K99" s="230" t="str">
        <f t="shared" si="75"/>
        <v>OCTOBRE</v>
      </c>
      <c r="L99" s="230" t="str">
        <f t="shared" si="75"/>
        <v>NOVEMBRE</v>
      </c>
      <c r="M99" s="254" t="str">
        <f t="shared" si="75"/>
        <v>DECEMBRE</v>
      </c>
      <c r="N99" s="263" t="s">
        <v>24</v>
      </c>
    </row>
    <row r="100" spans="1:14" ht="21" x14ac:dyDescent="0.25">
      <c r="A100" s="433" t="str">
        <f t="shared" ref="A100:A123" si="76">+A69</f>
        <v>ACHATS</v>
      </c>
      <c r="B100" s="434"/>
      <c r="C100" s="434"/>
      <c r="D100" s="434"/>
      <c r="E100" s="434"/>
      <c r="F100" s="434"/>
      <c r="G100" s="434"/>
      <c r="H100" s="434"/>
      <c r="I100" s="434"/>
      <c r="J100" s="434"/>
      <c r="K100" s="434"/>
      <c r="L100" s="434"/>
      <c r="M100" s="435"/>
      <c r="N100" s="252"/>
    </row>
    <row r="101" spans="1:14" ht="21" x14ac:dyDescent="0.35">
      <c r="A101" s="244" t="str">
        <f t="shared" si="76"/>
        <v>Achats de ,,,</v>
      </c>
      <c r="B101" s="245">
        <f>+M70</f>
        <v>23664459.738572493</v>
      </c>
      <c r="C101" s="526">
        <f>+B101*1.15</f>
        <v>27214128.699358366</v>
      </c>
      <c r="D101" s="28">
        <f t="shared" ref="D101:M101" si="77">+C101*1.15</f>
        <v>31296248.00426212</v>
      </c>
      <c r="E101" s="28">
        <f t="shared" si="77"/>
        <v>35990685.204901434</v>
      </c>
      <c r="F101" s="28">
        <f t="shared" si="77"/>
        <v>41389287.985636644</v>
      </c>
      <c r="G101" s="28">
        <f t="shared" si="77"/>
        <v>47597681.18348214</v>
      </c>
      <c r="H101" s="28">
        <f t="shared" si="77"/>
        <v>54737333.361004457</v>
      </c>
      <c r="I101" s="28">
        <f t="shared" si="77"/>
        <v>62947933.365155123</v>
      </c>
      <c r="J101" s="28">
        <f t="shared" si="77"/>
        <v>72390123.36992839</v>
      </c>
      <c r="K101" s="28">
        <f t="shared" si="77"/>
        <v>83248641.875417635</v>
      </c>
      <c r="L101" s="28">
        <f t="shared" si="77"/>
        <v>95735938.156730279</v>
      </c>
      <c r="M101" s="28">
        <f t="shared" si="77"/>
        <v>110096328.88023981</v>
      </c>
      <c r="N101" s="234">
        <f t="shared" ref="N101:N107" si="78">+SUM(B101:M101)</f>
        <v>686308789.82468891</v>
      </c>
    </row>
    <row r="102" spans="1:14" ht="21" x14ac:dyDescent="0.35">
      <c r="A102" s="244" t="str">
        <f t="shared" si="76"/>
        <v>Achat de fourniture de bureau</v>
      </c>
      <c r="B102" s="245">
        <f t="shared" ref="B102:B106" si="79">+M71</f>
        <v>7048988.0072343554</v>
      </c>
      <c r="C102" s="526">
        <f t="shared" ref="C102:M102" si="80">+B102*1.15</f>
        <v>8106336.2083195085</v>
      </c>
      <c r="D102" s="28">
        <f t="shared" si="80"/>
        <v>9322286.6395674348</v>
      </c>
      <c r="E102" s="28">
        <f t="shared" si="80"/>
        <v>10720629.635502549</v>
      </c>
      <c r="F102" s="28">
        <f t="shared" si="80"/>
        <v>12328724.080827931</v>
      </c>
      <c r="G102" s="28">
        <f t="shared" si="80"/>
        <v>14178032.692952119</v>
      </c>
      <c r="H102" s="28">
        <f t="shared" si="80"/>
        <v>16304737.596894935</v>
      </c>
      <c r="I102" s="28">
        <f t="shared" si="80"/>
        <v>18750448.236429173</v>
      </c>
      <c r="J102" s="28">
        <f t="shared" si="80"/>
        <v>21563015.471893549</v>
      </c>
      <c r="K102" s="28">
        <f t="shared" si="80"/>
        <v>24797467.792677578</v>
      </c>
      <c r="L102" s="28">
        <f t="shared" si="80"/>
        <v>28517087.961579211</v>
      </c>
      <c r="M102" s="28">
        <f t="shared" si="80"/>
        <v>32794651.155816089</v>
      </c>
      <c r="N102" s="234">
        <f t="shared" si="78"/>
        <v>204432405.4796944</v>
      </c>
    </row>
    <row r="103" spans="1:14" ht="21" x14ac:dyDescent="0.35">
      <c r="A103" s="244" t="str">
        <f t="shared" si="76"/>
        <v>Consommation en Eau</v>
      </c>
      <c r="B103" s="245">
        <f t="shared" si="79"/>
        <v>4732891.9477144955</v>
      </c>
      <c r="C103" s="526">
        <f t="shared" ref="C103:M103" si="81">+B103*1.15</f>
        <v>5442825.7398716696</v>
      </c>
      <c r="D103" s="28">
        <f t="shared" si="81"/>
        <v>6259249.6008524196</v>
      </c>
      <c r="E103" s="28">
        <f t="shared" si="81"/>
        <v>7198137.0409802822</v>
      </c>
      <c r="F103" s="28">
        <f t="shared" si="81"/>
        <v>8277857.597127324</v>
      </c>
      <c r="G103" s="28">
        <f t="shared" si="81"/>
        <v>9519536.2366964221</v>
      </c>
      <c r="H103" s="28">
        <f t="shared" si="81"/>
        <v>10947466.672200885</v>
      </c>
      <c r="I103" s="28">
        <f t="shared" si="81"/>
        <v>12589586.673031017</v>
      </c>
      <c r="J103" s="28">
        <f t="shared" si="81"/>
        <v>14478024.673985669</v>
      </c>
      <c r="K103" s="28">
        <f t="shared" si="81"/>
        <v>16649728.375083519</v>
      </c>
      <c r="L103" s="28">
        <f t="shared" si="81"/>
        <v>19147187.631346047</v>
      </c>
      <c r="M103" s="28">
        <f t="shared" si="81"/>
        <v>22019265.776047952</v>
      </c>
      <c r="N103" s="234">
        <f t="shared" si="78"/>
        <v>137261757.96493772</v>
      </c>
    </row>
    <row r="104" spans="1:14" ht="21" x14ac:dyDescent="0.35">
      <c r="A104" s="244" t="str">
        <f t="shared" si="76"/>
        <v>Consommation en Electricité</v>
      </c>
      <c r="B104" s="245">
        <f t="shared" si="79"/>
        <v>9465783.8954289909</v>
      </c>
      <c r="C104" s="526">
        <f t="shared" ref="C104:M104" si="82">+B104*1.15</f>
        <v>10885651.479743339</v>
      </c>
      <c r="D104" s="28">
        <f t="shared" si="82"/>
        <v>12518499.201704839</v>
      </c>
      <c r="E104" s="28">
        <f t="shared" si="82"/>
        <v>14396274.081960564</v>
      </c>
      <c r="F104" s="28">
        <f t="shared" si="82"/>
        <v>16555715.194254648</v>
      </c>
      <c r="G104" s="28">
        <f t="shared" si="82"/>
        <v>19039072.473392844</v>
      </c>
      <c r="H104" s="28">
        <f t="shared" si="82"/>
        <v>21894933.344401769</v>
      </c>
      <c r="I104" s="28">
        <f t="shared" si="82"/>
        <v>25179173.346062034</v>
      </c>
      <c r="J104" s="28">
        <f t="shared" si="82"/>
        <v>28956049.347971339</v>
      </c>
      <c r="K104" s="28">
        <f t="shared" si="82"/>
        <v>33299456.750167038</v>
      </c>
      <c r="L104" s="28">
        <f t="shared" si="82"/>
        <v>38294375.262692094</v>
      </c>
      <c r="M104" s="28">
        <f t="shared" si="82"/>
        <v>44038531.552095905</v>
      </c>
      <c r="N104" s="234">
        <f t="shared" si="78"/>
        <v>274523515.92987543</v>
      </c>
    </row>
    <row r="105" spans="1:14" ht="21" x14ac:dyDescent="0.35">
      <c r="A105" s="244" t="str">
        <f t="shared" si="76"/>
        <v>Produits d'entretien</v>
      </c>
      <c r="B105" s="245">
        <f t="shared" si="79"/>
        <v>2416795.888194636</v>
      </c>
      <c r="C105" s="526">
        <f t="shared" ref="C105:M105" si="83">+B105*1.15</f>
        <v>2779315.2714238311</v>
      </c>
      <c r="D105" s="28">
        <f t="shared" si="83"/>
        <v>3196212.5621374054</v>
      </c>
      <c r="E105" s="28">
        <f t="shared" si="83"/>
        <v>3675644.4464580161</v>
      </c>
      <c r="F105" s="28">
        <f t="shared" si="83"/>
        <v>4226991.1134267179</v>
      </c>
      <c r="G105" s="28">
        <f t="shared" si="83"/>
        <v>4861039.7804407254</v>
      </c>
      <c r="H105" s="28">
        <f t="shared" si="83"/>
        <v>5590195.7475068336</v>
      </c>
      <c r="I105" s="28">
        <f t="shared" si="83"/>
        <v>6428725.1096328581</v>
      </c>
      <c r="J105" s="28">
        <f t="shared" si="83"/>
        <v>7393033.8760777861</v>
      </c>
      <c r="K105" s="28">
        <f t="shared" si="83"/>
        <v>8501988.9574894533</v>
      </c>
      <c r="L105" s="28">
        <f t="shared" si="83"/>
        <v>9777287.3011128698</v>
      </c>
      <c r="M105" s="28">
        <f t="shared" si="83"/>
        <v>11243880.396279799</v>
      </c>
      <c r="N105" s="234">
        <f t="shared" si="78"/>
        <v>70091110.450180933</v>
      </c>
    </row>
    <row r="106" spans="1:14" ht="21" x14ac:dyDescent="0.35">
      <c r="A106" s="244" t="str">
        <f t="shared" si="76"/>
        <v>Carburant</v>
      </c>
      <c r="B106" s="245">
        <f t="shared" si="79"/>
        <v>7048988.0072343554</v>
      </c>
      <c r="C106" s="526">
        <f t="shared" ref="C106:M106" si="84">+B106*1.15</f>
        <v>8106336.2083195085</v>
      </c>
      <c r="D106" s="28">
        <f t="shared" si="84"/>
        <v>9322286.6395674348</v>
      </c>
      <c r="E106" s="28">
        <f t="shared" si="84"/>
        <v>10720629.635502549</v>
      </c>
      <c r="F106" s="28">
        <f t="shared" si="84"/>
        <v>12328724.080827931</v>
      </c>
      <c r="G106" s="28">
        <f t="shared" si="84"/>
        <v>14178032.692952119</v>
      </c>
      <c r="H106" s="28">
        <f t="shared" si="84"/>
        <v>16304737.596894935</v>
      </c>
      <c r="I106" s="28">
        <f t="shared" si="84"/>
        <v>18750448.236429173</v>
      </c>
      <c r="J106" s="28">
        <f t="shared" si="84"/>
        <v>21563015.471893549</v>
      </c>
      <c r="K106" s="28">
        <f t="shared" si="84"/>
        <v>24797467.792677578</v>
      </c>
      <c r="L106" s="28">
        <f t="shared" si="84"/>
        <v>28517087.961579211</v>
      </c>
      <c r="M106" s="28">
        <f t="shared" si="84"/>
        <v>32794651.155816089</v>
      </c>
      <c r="N106" s="234">
        <f t="shared" si="78"/>
        <v>204432405.4796944</v>
      </c>
    </row>
    <row r="107" spans="1:14" ht="21" x14ac:dyDescent="0.35">
      <c r="A107" s="264" t="str">
        <f t="shared" si="76"/>
        <v>TOTAL ACHATS</v>
      </c>
      <c r="B107" s="247">
        <f t="shared" ref="B107:M107" si="85">SUM(B101:B106)</f>
        <v>54377907.484379329</v>
      </c>
      <c r="C107" s="236">
        <f t="shared" si="85"/>
        <v>62534593.607036218</v>
      </c>
      <c r="D107" s="236">
        <f t="shared" si="85"/>
        <v>71914782.648091644</v>
      </c>
      <c r="E107" s="236">
        <f t="shared" si="85"/>
        <v>82702000.045305386</v>
      </c>
      <c r="F107" s="236">
        <f t="shared" si="85"/>
        <v>95107300.052101195</v>
      </c>
      <c r="G107" s="236">
        <f t="shared" si="85"/>
        <v>109373395.05991638</v>
      </c>
      <c r="H107" s="236">
        <f t="shared" si="85"/>
        <v>125779404.31890382</v>
      </c>
      <c r="I107" s="236">
        <f t="shared" si="85"/>
        <v>144646314.96673939</v>
      </c>
      <c r="J107" s="236">
        <f t="shared" si="85"/>
        <v>166343262.21175027</v>
      </c>
      <c r="K107" s="236">
        <f t="shared" si="85"/>
        <v>191294751.54351282</v>
      </c>
      <c r="L107" s="236">
        <f t="shared" si="85"/>
        <v>219988964.2750397</v>
      </c>
      <c r="M107" s="236">
        <f t="shared" si="85"/>
        <v>252987308.91629565</v>
      </c>
      <c r="N107" s="234">
        <f t="shared" si="78"/>
        <v>1577049985.1290717</v>
      </c>
    </row>
    <row r="108" spans="1:14" ht="21" x14ac:dyDescent="0.25">
      <c r="A108" s="437" t="str">
        <f t="shared" si="76"/>
        <v>CHARGES EXTERNES</v>
      </c>
      <c r="B108" s="438"/>
      <c r="C108" s="438"/>
      <c r="D108" s="438"/>
      <c r="E108" s="438"/>
      <c r="F108" s="438"/>
      <c r="G108" s="438"/>
      <c r="H108" s="438"/>
      <c r="I108" s="438"/>
      <c r="J108" s="438"/>
      <c r="K108" s="438"/>
      <c r="L108" s="438"/>
      <c r="M108" s="439"/>
      <c r="N108" s="234"/>
    </row>
    <row r="109" spans="1:14" ht="21" x14ac:dyDescent="0.35">
      <c r="A109" s="244" t="str">
        <f t="shared" si="76"/>
        <v>Loyer</v>
      </c>
      <c r="B109" s="245">
        <f>+M78</f>
        <v>58607300.288719945</v>
      </c>
      <c r="C109" s="526">
        <f>+B109*1.15</f>
        <v>67398395.332027927</v>
      </c>
      <c r="D109" s="28">
        <f t="shared" ref="D109:M109" si="86">+C109*1.15</f>
        <v>77508154.631832108</v>
      </c>
      <c r="E109" s="28">
        <f t="shared" si="86"/>
        <v>89134377.826606914</v>
      </c>
      <c r="F109" s="28">
        <f t="shared" si="86"/>
        <v>102504534.50059794</v>
      </c>
      <c r="G109" s="28">
        <f t="shared" si="86"/>
        <v>117880214.67568763</v>
      </c>
      <c r="H109" s="28">
        <f t="shared" si="86"/>
        <v>135562246.87704077</v>
      </c>
      <c r="I109" s="28">
        <f t="shared" si="86"/>
        <v>155896583.90859687</v>
      </c>
      <c r="J109" s="28">
        <f t="shared" si="86"/>
        <v>179281071.4948864</v>
      </c>
      <c r="K109" s="28">
        <f t="shared" si="86"/>
        <v>206173232.21911934</v>
      </c>
      <c r="L109" s="28">
        <f t="shared" si="86"/>
        <v>237099217.05198723</v>
      </c>
      <c r="M109" s="28">
        <f t="shared" si="86"/>
        <v>272664099.60978532</v>
      </c>
      <c r="N109" s="234">
        <f>+SUM(B109:M109)</f>
        <v>1699709428.4168885</v>
      </c>
    </row>
    <row r="110" spans="1:14" ht="21" x14ac:dyDescent="0.35">
      <c r="A110" s="244" t="str">
        <f t="shared" si="76"/>
        <v>Frais de télécommunication</v>
      </c>
      <c r="B110" s="245">
        <f t="shared" ref="B110:B112" si="87">+M79</f>
        <v>11781879.954948863</v>
      </c>
      <c r="C110" s="526">
        <f t="shared" ref="C110:M110" si="88">+B110*1.15</f>
        <v>13549161.948191192</v>
      </c>
      <c r="D110" s="28">
        <f t="shared" si="88"/>
        <v>15581536.24041987</v>
      </c>
      <c r="E110" s="28">
        <f t="shared" si="88"/>
        <v>17918766.676482849</v>
      </c>
      <c r="F110" s="28">
        <f t="shared" si="88"/>
        <v>20606581.677955274</v>
      </c>
      <c r="G110" s="28">
        <f t="shared" si="88"/>
        <v>23697568.929648563</v>
      </c>
      <c r="H110" s="28">
        <f t="shared" si="88"/>
        <v>27252204.269095846</v>
      </c>
      <c r="I110" s="28">
        <f t="shared" si="88"/>
        <v>31340034.90946022</v>
      </c>
      <c r="J110" s="28">
        <f t="shared" si="88"/>
        <v>36041040.145879254</v>
      </c>
      <c r="K110" s="28">
        <f t="shared" si="88"/>
        <v>41447196.16776114</v>
      </c>
      <c r="L110" s="28">
        <f t="shared" si="88"/>
        <v>47664275.59292531</v>
      </c>
      <c r="M110" s="28">
        <f t="shared" si="88"/>
        <v>54813916.931864105</v>
      </c>
      <c r="N110" s="234">
        <f>+SUM(B110:M110)</f>
        <v>341694163.44463247</v>
      </c>
    </row>
    <row r="111" spans="1:14" ht="21" x14ac:dyDescent="0.35">
      <c r="A111" s="244" t="str">
        <f t="shared" si="76"/>
        <v>Voyages et Déplacements</v>
      </c>
      <c r="B111" s="245">
        <f t="shared" si="87"/>
        <v>21146964.021703061</v>
      </c>
      <c r="C111" s="526">
        <f t="shared" ref="C111:M111" si="89">+B111*1.15</f>
        <v>24319008.624958519</v>
      </c>
      <c r="D111" s="28">
        <f t="shared" si="89"/>
        <v>27966859.918702293</v>
      </c>
      <c r="E111" s="28">
        <f t="shared" si="89"/>
        <v>32161888.906507634</v>
      </c>
      <c r="F111" s="28">
        <f t="shared" si="89"/>
        <v>36986172.242483772</v>
      </c>
      <c r="G111" s="28">
        <f t="shared" si="89"/>
        <v>42534098.078856334</v>
      </c>
      <c r="H111" s="28">
        <f t="shared" si="89"/>
        <v>48914212.790684782</v>
      </c>
      <c r="I111" s="28">
        <f t="shared" si="89"/>
        <v>56251344.709287494</v>
      </c>
      <c r="J111" s="28">
        <f t="shared" si="89"/>
        <v>64689046.415680617</v>
      </c>
      <c r="K111" s="28">
        <f t="shared" si="89"/>
        <v>74392403.378032699</v>
      </c>
      <c r="L111" s="28">
        <f t="shared" si="89"/>
        <v>85551263.884737596</v>
      </c>
      <c r="M111" s="28">
        <f t="shared" si="89"/>
        <v>98383953.467448235</v>
      </c>
      <c r="N111" s="234">
        <f>+SUM(B111:M111)</f>
        <v>613297216.43908298</v>
      </c>
    </row>
    <row r="112" spans="1:14" ht="21" x14ac:dyDescent="0.35">
      <c r="A112" s="244" t="str">
        <f t="shared" si="76"/>
        <v>Pétits materiels et outillages</v>
      </c>
      <c r="B112" s="245">
        <f t="shared" si="87"/>
        <v>7048988.0072343554</v>
      </c>
      <c r="C112" s="526">
        <f t="shared" ref="C112:M112" si="90">+B112*1.15</f>
        <v>8106336.2083195085</v>
      </c>
      <c r="D112" s="28">
        <f t="shared" si="90"/>
        <v>9322286.6395674348</v>
      </c>
      <c r="E112" s="28">
        <f t="shared" si="90"/>
        <v>10720629.635502549</v>
      </c>
      <c r="F112" s="28">
        <f t="shared" si="90"/>
        <v>12328724.080827931</v>
      </c>
      <c r="G112" s="28">
        <f t="shared" si="90"/>
        <v>14178032.692952119</v>
      </c>
      <c r="H112" s="28">
        <f t="shared" si="90"/>
        <v>16304737.596894935</v>
      </c>
      <c r="I112" s="28">
        <f t="shared" si="90"/>
        <v>18750448.236429173</v>
      </c>
      <c r="J112" s="28">
        <f t="shared" si="90"/>
        <v>21563015.471893549</v>
      </c>
      <c r="K112" s="28">
        <f t="shared" si="90"/>
        <v>24797467.792677578</v>
      </c>
      <c r="L112" s="28">
        <f t="shared" si="90"/>
        <v>28517087.961579211</v>
      </c>
      <c r="M112" s="28">
        <f t="shared" si="90"/>
        <v>32794651.155816089</v>
      </c>
      <c r="N112" s="234">
        <f>+SUM(B112:M112)</f>
        <v>204432405.4796944</v>
      </c>
    </row>
    <row r="113" spans="1:14" ht="21" x14ac:dyDescent="0.25">
      <c r="A113" s="248" t="str">
        <f t="shared" si="76"/>
        <v>TOTAL CHARGES EXTERNES</v>
      </c>
      <c r="B113" s="249">
        <f t="shared" ref="B113:M113" si="91">SUM(B109:B112)</f>
        <v>98585132.272606224</v>
      </c>
      <c r="C113" s="18">
        <f t="shared" si="91"/>
        <v>113372902.11349715</v>
      </c>
      <c r="D113" s="18">
        <f t="shared" si="91"/>
        <v>130378837.4305217</v>
      </c>
      <c r="E113" s="18">
        <f t="shared" si="91"/>
        <v>149935663.04509994</v>
      </c>
      <c r="F113" s="18">
        <f t="shared" si="91"/>
        <v>172426012.50186491</v>
      </c>
      <c r="G113" s="18">
        <f t="shared" si="91"/>
        <v>198289914.37714466</v>
      </c>
      <c r="H113" s="18">
        <f t="shared" si="91"/>
        <v>228033401.53371632</v>
      </c>
      <c r="I113" s="18">
        <f t="shared" si="91"/>
        <v>262238411.76377377</v>
      </c>
      <c r="J113" s="18">
        <f t="shared" si="91"/>
        <v>301574173.52833986</v>
      </c>
      <c r="K113" s="18">
        <f t="shared" si="91"/>
        <v>346810299.55759078</v>
      </c>
      <c r="L113" s="18">
        <f t="shared" si="91"/>
        <v>398831844.49122936</v>
      </c>
      <c r="M113" s="18">
        <f t="shared" si="91"/>
        <v>458656621.16491371</v>
      </c>
      <c r="N113" s="234">
        <f>+SUM(B113:M113)</f>
        <v>2859133213.7802982</v>
      </c>
    </row>
    <row r="114" spans="1:14" ht="21" x14ac:dyDescent="0.25">
      <c r="A114" s="430" t="str">
        <f t="shared" si="76"/>
        <v>SALAIRES ET CHARGES</v>
      </c>
      <c r="B114" s="431"/>
      <c r="C114" s="431"/>
      <c r="D114" s="431"/>
      <c r="E114" s="431"/>
      <c r="F114" s="431"/>
      <c r="G114" s="431"/>
      <c r="H114" s="431"/>
      <c r="I114" s="431"/>
      <c r="J114" s="431"/>
      <c r="K114" s="431"/>
      <c r="L114" s="431"/>
      <c r="M114" s="432"/>
      <c r="N114" s="234"/>
    </row>
    <row r="115" spans="1:14" ht="21" x14ac:dyDescent="0.35">
      <c r="A115" s="244" t="str">
        <f t="shared" si="76"/>
        <v>Rémunération de personnel</v>
      </c>
      <c r="B115" s="245">
        <f>+M84</f>
        <v>198378662.48930982</v>
      </c>
      <c r="C115" s="526">
        <f>+B115*1.15</f>
        <v>228135461.86270627</v>
      </c>
      <c r="D115" s="28">
        <f t="shared" ref="D115:M115" si="92">+C115*1.15</f>
        <v>262355781.1421122</v>
      </c>
      <c r="E115" s="28">
        <f t="shared" si="92"/>
        <v>301709148.313429</v>
      </c>
      <c r="F115" s="28">
        <f t="shared" si="92"/>
        <v>346965520.56044334</v>
      </c>
      <c r="G115" s="28">
        <f t="shared" si="92"/>
        <v>399010348.64450979</v>
      </c>
      <c r="H115" s="28">
        <f t="shared" si="92"/>
        <v>458861900.94118625</v>
      </c>
      <c r="I115" s="28">
        <f t="shared" si="92"/>
        <v>527691186.08236414</v>
      </c>
      <c r="J115" s="28">
        <f t="shared" si="92"/>
        <v>606844863.99471867</v>
      </c>
      <c r="K115" s="28">
        <f t="shared" si="92"/>
        <v>697871593.59392643</v>
      </c>
      <c r="L115" s="28">
        <f t="shared" si="92"/>
        <v>802552332.63301528</v>
      </c>
      <c r="M115" s="28">
        <f t="shared" si="92"/>
        <v>922935182.52796745</v>
      </c>
      <c r="N115" s="234">
        <f>+SUM(B115:M115)</f>
        <v>5753311982.7856884</v>
      </c>
    </row>
    <row r="116" spans="1:14" ht="21" x14ac:dyDescent="0.35">
      <c r="A116" s="244" t="str">
        <f t="shared" si="76"/>
        <v>Transport de personnel</v>
      </c>
      <c r="B116" s="245">
        <f t="shared" ref="B116:B117" si="93">+M85</f>
        <v>7048988.0072343554</v>
      </c>
      <c r="C116" s="526">
        <f t="shared" ref="C116:M116" si="94">+B116*1.15</f>
        <v>8106336.2083195085</v>
      </c>
      <c r="D116" s="28">
        <f t="shared" si="94"/>
        <v>9322286.6395674348</v>
      </c>
      <c r="E116" s="28">
        <f t="shared" si="94"/>
        <v>10720629.635502549</v>
      </c>
      <c r="F116" s="28">
        <f t="shared" si="94"/>
        <v>12328724.080827931</v>
      </c>
      <c r="G116" s="28">
        <f t="shared" si="94"/>
        <v>14178032.692952119</v>
      </c>
      <c r="H116" s="28">
        <f t="shared" si="94"/>
        <v>16304737.596894935</v>
      </c>
      <c r="I116" s="28">
        <f t="shared" si="94"/>
        <v>18750448.236429173</v>
      </c>
      <c r="J116" s="28">
        <f t="shared" si="94"/>
        <v>21563015.471893549</v>
      </c>
      <c r="K116" s="28">
        <f t="shared" si="94"/>
        <v>24797467.792677578</v>
      </c>
      <c r="L116" s="28">
        <f t="shared" si="94"/>
        <v>28517087.961579211</v>
      </c>
      <c r="M116" s="28">
        <f t="shared" si="94"/>
        <v>32794651.155816089</v>
      </c>
      <c r="N116" s="234">
        <f>+SUM(B116:M116)</f>
        <v>204432405.4796944</v>
      </c>
    </row>
    <row r="117" spans="1:14" ht="21" x14ac:dyDescent="0.35">
      <c r="A117" s="244" t="str">
        <f t="shared" si="76"/>
        <v>Charges sociales</v>
      </c>
      <c r="B117" s="245">
        <f t="shared" si="93"/>
        <v>11781879.954948863</v>
      </c>
      <c r="C117" s="526">
        <f t="shared" ref="C117:M117" si="95">+B117*1.15</f>
        <v>13549161.948191192</v>
      </c>
      <c r="D117" s="28">
        <f t="shared" si="95"/>
        <v>15581536.24041987</v>
      </c>
      <c r="E117" s="28">
        <f t="shared" si="95"/>
        <v>17918766.676482849</v>
      </c>
      <c r="F117" s="28">
        <f t="shared" si="95"/>
        <v>20606581.677955274</v>
      </c>
      <c r="G117" s="28">
        <f t="shared" si="95"/>
        <v>23697568.929648563</v>
      </c>
      <c r="H117" s="28">
        <f t="shared" si="95"/>
        <v>27252204.269095846</v>
      </c>
      <c r="I117" s="28">
        <f t="shared" si="95"/>
        <v>31340034.90946022</v>
      </c>
      <c r="J117" s="28">
        <f t="shared" si="95"/>
        <v>36041040.145879254</v>
      </c>
      <c r="K117" s="28">
        <f t="shared" si="95"/>
        <v>41447196.16776114</v>
      </c>
      <c r="L117" s="28">
        <f t="shared" si="95"/>
        <v>47664275.59292531</v>
      </c>
      <c r="M117" s="28">
        <f t="shared" si="95"/>
        <v>54813916.931864105</v>
      </c>
      <c r="N117" s="234">
        <f>+SUM(B117:M117)</f>
        <v>341694163.44463247</v>
      </c>
    </row>
    <row r="118" spans="1:14" ht="21" x14ac:dyDescent="0.35">
      <c r="A118" s="246" t="str">
        <f t="shared" si="76"/>
        <v>TOTAL SALAIRES ET CHARGES</v>
      </c>
      <c r="B118" s="249">
        <f t="shared" ref="B118:M118" si="96">SUM(B115:B117)</f>
        <v>217209530.45149305</v>
      </c>
      <c r="C118" s="18">
        <f t="shared" si="96"/>
        <v>249790960.01921698</v>
      </c>
      <c r="D118" s="18">
        <f t="shared" si="96"/>
        <v>287259604.02209949</v>
      </c>
      <c r="E118" s="18">
        <f t="shared" si="96"/>
        <v>330348544.62541443</v>
      </c>
      <c r="F118" s="18">
        <f t="shared" si="96"/>
        <v>379900826.31922656</v>
      </c>
      <c r="G118" s="18">
        <f t="shared" si="96"/>
        <v>436885950.26711047</v>
      </c>
      <c r="H118" s="18">
        <f t="shared" si="96"/>
        <v>502418842.80717701</v>
      </c>
      <c r="I118" s="18">
        <f t="shared" si="96"/>
        <v>577781669.22825348</v>
      </c>
      <c r="J118" s="18">
        <f t="shared" si="96"/>
        <v>664448919.61249149</v>
      </c>
      <c r="K118" s="18">
        <f t="shared" si="96"/>
        <v>764116257.55436504</v>
      </c>
      <c r="L118" s="18">
        <f t="shared" si="96"/>
        <v>878733696.18751979</v>
      </c>
      <c r="M118" s="18">
        <f t="shared" si="96"/>
        <v>1010543750.6156477</v>
      </c>
      <c r="N118" s="234">
        <f>+SUM(B118:M118)</f>
        <v>6299438551.7100153</v>
      </c>
    </row>
    <row r="119" spans="1:14" ht="21" x14ac:dyDescent="0.25">
      <c r="A119" s="430" t="str">
        <f t="shared" si="76"/>
        <v>IMPOTS ET TAXES</v>
      </c>
      <c r="B119" s="431"/>
      <c r="C119" s="431"/>
      <c r="D119" s="431"/>
      <c r="E119" s="431"/>
      <c r="F119" s="431"/>
      <c r="G119" s="431"/>
      <c r="H119" s="431"/>
      <c r="I119" s="431"/>
      <c r="J119" s="431"/>
      <c r="K119" s="431"/>
      <c r="L119" s="431"/>
      <c r="M119" s="432"/>
      <c r="N119" s="234"/>
    </row>
    <row r="120" spans="1:14" ht="21" x14ac:dyDescent="0.35">
      <c r="A120" s="244" t="str">
        <f t="shared" si="76"/>
        <v>Taxe sur les salaires</v>
      </c>
      <c r="B120" s="245">
        <f>+M89</f>
        <v>9465783.8954289909</v>
      </c>
      <c r="C120" s="526">
        <f>+B120*1.15</f>
        <v>10885651.479743339</v>
      </c>
      <c r="D120" s="28">
        <f t="shared" ref="D120:M120" si="97">+C120*1.15</f>
        <v>12518499.201704839</v>
      </c>
      <c r="E120" s="28">
        <f t="shared" si="97"/>
        <v>14396274.081960564</v>
      </c>
      <c r="F120" s="28">
        <f t="shared" si="97"/>
        <v>16555715.194254648</v>
      </c>
      <c r="G120" s="28">
        <f t="shared" si="97"/>
        <v>19039072.473392844</v>
      </c>
      <c r="H120" s="28">
        <f t="shared" si="97"/>
        <v>21894933.344401769</v>
      </c>
      <c r="I120" s="28">
        <f t="shared" si="97"/>
        <v>25179173.346062034</v>
      </c>
      <c r="J120" s="28">
        <f t="shared" si="97"/>
        <v>28956049.347971339</v>
      </c>
      <c r="K120" s="28">
        <f t="shared" si="97"/>
        <v>33299456.750167038</v>
      </c>
      <c r="L120" s="28">
        <f t="shared" si="97"/>
        <v>38294375.262692094</v>
      </c>
      <c r="M120" s="28">
        <f t="shared" si="97"/>
        <v>44038531.552095905</v>
      </c>
      <c r="N120" s="234">
        <f>+SUM(B120:M120)</f>
        <v>274523515.92987543</v>
      </c>
    </row>
    <row r="121" spans="1:14" ht="21" x14ac:dyDescent="0.35">
      <c r="A121" s="244" t="str">
        <f t="shared" si="76"/>
        <v>Autres taxes</v>
      </c>
      <c r="B121" s="245">
        <f>+M90</f>
        <v>7048988.0072343554</v>
      </c>
      <c r="C121" s="526">
        <f>+B121*1.15</f>
        <v>8106336.2083195085</v>
      </c>
      <c r="D121" s="28">
        <f t="shared" ref="D121:M121" si="98">+C121*1.15</f>
        <v>9322286.6395674348</v>
      </c>
      <c r="E121" s="28">
        <f t="shared" si="98"/>
        <v>10720629.635502549</v>
      </c>
      <c r="F121" s="28">
        <f t="shared" si="98"/>
        <v>12328724.080827931</v>
      </c>
      <c r="G121" s="28">
        <f t="shared" si="98"/>
        <v>14178032.692952119</v>
      </c>
      <c r="H121" s="28">
        <f t="shared" si="98"/>
        <v>16304737.596894935</v>
      </c>
      <c r="I121" s="28">
        <f t="shared" si="98"/>
        <v>18750448.236429173</v>
      </c>
      <c r="J121" s="28">
        <f t="shared" si="98"/>
        <v>21563015.471893549</v>
      </c>
      <c r="K121" s="28">
        <f t="shared" si="98"/>
        <v>24797467.792677578</v>
      </c>
      <c r="L121" s="28">
        <f t="shared" si="98"/>
        <v>28517087.961579211</v>
      </c>
      <c r="M121" s="28">
        <f t="shared" si="98"/>
        <v>32794651.155816089</v>
      </c>
      <c r="N121" s="234">
        <f>+SUM(B121:M121)</f>
        <v>204432405.4796944</v>
      </c>
    </row>
    <row r="122" spans="1:14" ht="21" x14ac:dyDescent="0.35">
      <c r="A122" s="246" t="str">
        <f t="shared" si="76"/>
        <v>TOTAL IMPOTS ET TAXES</v>
      </c>
      <c r="B122" s="249">
        <f t="shared" ref="B122:M122" si="99">SUM(B120:B121)</f>
        <v>16514771.902663346</v>
      </c>
      <c r="C122" s="18">
        <f t="shared" si="99"/>
        <v>18991987.688062847</v>
      </c>
      <c r="D122" s="18">
        <f t="shared" si="99"/>
        <v>21840785.841272272</v>
      </c>
      <c r="E122" s="18">
        <f t="shared" si="99"/>
        <v>25116903.717463113</v>
      </c>
      <c r="F122" s="18">
        <f t="shared" si="99"/>
        <v>28884439.275082581</v>
      </c>
      <c r="G122" s="18">
        <f t="shared" si="99"/>
        <v>33217105.166344963</v>
      </c>
      <c r="H122" s="18">
        <f t="shared" si="99"/>
        <v>38199670.941296704</v>
      </c>
      <c r="I122" s="18">
        <f t="shared" si="99"/>
        <v>43929621.582491204</v>
      </c>
      <c r="J122" s="18">
        <f t="shared" si="99"/>
        <v>50519064.819864884</v>
      </c>
      <c r="K122" s="18">
        <f t="shared" si="99"/>
        <v>58096924.542844616</v>
      </c>
      <c r="L122" s="18">
        <f t="shared" si="99"/>
        <v>66811463.224271305</v>
      </c>
      <c r="M122" s="18">
        <f t="shared" si="99"/>
        <v>76833182.707911998</v>
      </c>
      <c r="N122" s="251">
        <f>+SUM(B122:M122)</f>
        <v>478955921.40956974</v>
      </c>
    </row>
    <row r="123" spans="1:14" ht="21" x14ac:dyDescent="0.35">
      <c r="A123" s="246" t="str">
        <f t="shared" si="76"/>
        <v>TOTAL CHARGES D'EXPLOITATIONS</v>
      </c>
      <c r="B123" s="250">
        <f t="shared" ref="B123:G123" si="100">+B122+B118+B113+B107</f>
        <v>386687342.11114198</v>
      </c>
      <c r="C123" s="239">
        <f t="shared" si="100"/>
        <v>444690443.42781317</v>
      </c>
      <c r="D123" s="239">
        <f t="shared" si="100"/>
        <v>511394009.94198513</v>
      </c>
      <c r="E123" s="239">
        <f t="shared" si="100"/>
        <v>588103111.43328285</v>
      </c>
      <c r="F123" s="239">
        <f t="shared" si="100"/>
        <v>676318578.14827514</v>
      </c>
      <c r="G123" s="239">
        <f t="shared" si="100"/>
        <v>777766364.87051642</v>
      </c>
      <c r="H123" s="240">
        <f t="shared" ref="H123:M123" si="101">H122+H118+H113+H107</f>
        <v>894431319.60109389</v>
      </c>
      <c r="I123" s="240">
        <f t="shared" si="101"/>
        <v>1028596017.5412579</v>
      </c>
      <c r="J123" s="240">
        <f t="shared" si="101"/>
        <v>1182885420.1724465</v>
      </c>
      <c r="K123" s="240">
        <f t="shared" si="101"/>
        <v>1360318233.1983132</v>
      </c>
      <c r="L123" s="240">
        <f t="shared" si="101"/>
        <v>1564365968.1780601</v>
      </c>
      <c r="M123" s="259">
        <f t="shared" si="101"/>
        <v>1799020863.4047689</v>
      </c>
      <c r="N123" s="255">
        <f>+SUM(B123:M123)</f>
        <v>11214577672.028954</v>
      </c>
    </row>
    <row r="124" spans="1:14" ht="21" x14ac:dyDescent="0.35">
      <c r="A124" s="43"/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253"/>
    </row>
    <row r="125" spans="1:14" ht="21" x14ac:dyDescent="0.35">
      <c r="A125" s="241"/>
      <c r="B125" s="241"/>
      <c r="C125" s="241"/>
      <c r="D125" s="241"/>
      <c r="E125" s="241"/>
      <c r="F125" s="241"/>
      <c r="G125" s="241"/>
      <c r="H125" s="43"/>
      <c r="I125" s="43"/>
      <c r="J125" s="43"/>
      <c r="K125" s="43"/>
      <c r="L125" s="43"/>
      <c r="M125" s="43"/>
      <c r="N125" s="253"/>
    </row>
    <row r="126" spans="1:14" ht="21" x14ac:dyDescent="0.35">
      <c r="A126" s="241"/>
      <c r="B126" s="56"/>
      <c r="C126" s="56" t="s">
        <v>378</v>
      </c>
      <c r="D126" s="56"/>
      <c r="E126" s="56"/>
      <c r="F126" s="56"/>
      <c r="G126" s="56"/>
      <c r="H126" s="56"/>
      <c r="I126" s="241"/>
      <c r="J126" s="241"/>
      <c r="K126" s="241"/>
      <c r="L126" s="241"/>
      <c r="M126" s="241"/>
      <c r="N126" s="253"/>
    </row>
    <row r="127" spans="1:14" ht="21" x14ac:dyDescent="0.35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253"/>
    </row>
    <row r="128" spans="1:14" ht="21" x14ac:dyDescent="0.35">
      <c r="A128" s="56"/>
      <c r="B128" s="56"/>
      <c r="C128" s="56"/>
      <c r="D128" s="56"/>
      <c r="E128" s="56"/>
      <c r="F128" s="56"/>
      <c r="G128" s="56" t="s">
        <v>159</v>
      </c>
      <c r="H128" s="56">
        <f>+BASE_INFORMATION!E14</f>
        <v>2030</v>
      </c>
      <c r="I128" s="56"/>
      <c r="J128" s="56"/>
      <c r="K128" s="56"/>
      <c r="L128" s="56"/>
      <c r="M128" s="56"/>
      <c r="N128" s="253"/>
    </row>
    <row r="129" spans="1:14" ht="21" x14ac:dyDescent="0.35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253"/>
    </row>
    <row r="130" spans="1:14" ht="21" x14ac:dyDescent="0.35">
      <c r="A130" s="242" t="str">
        <f t="shared" ref="A130:M130" si="102">+A99</f>
        <v>LIBELLE</v>
      </c>
      <c r="B130" s="230" t="str">
        <f t="shared" si="102"/>
        <v>JANVIER</v>
      </c>
      <c r="C130" s="230" t="str">
        <f t="shared" si="102"/>
        <v>FEVRIER</v>
      </c>
      <c r="D130" s="230" t="str">
        <f t="shared" si="102"/>
        <v>MARS</v>
      </c>
      <c r="E130" s="230" t="str">
        <f t="shared" si="102"/>
        <v>AVRIL</v>
      </c>
      <c r="F130" s="230" t="str">
        <f t="shared" si="102"/>
        <v>MAI</v>
      </c>
      <c r="G130" s="230" t="str">
        <f t="shared" si="102"/>
        <v>JUIN</v>
      </c>
      <c r="H130" s="230" t="str">
        <f t="shared" si="102"/>
        <v>JUILLET</v>
      </c>
      <c r="I130" s="230" t="str">
        <f t="shared" si="102"/>
        <v>AOUT</v>
      </c>
      <c r="J130" s="230" t="str">
        <f t="shared" si="102"/>
        <v>SEPTEMBRE</v>
      </c>
      <c r="K130" s="230" t="str">
        <f t="shared" si="102"/>
        <v>OCTOBRE</v>
      </c>
      <c r="L130" s="230" t="str">
        <f t="shared" si="102"/>
        <v>NOVEMBRE</v>
      </c>
      <c r="M130" s="254" t="str">
        <f t="shared" si="102"/>
        <v>DECEMBRE</v>
      </c>
      <c r="N130" s="255" t="s">
        <v>24</v>
      </c>
    </row>
    <row r="131" spans="1:14" ht="21" x14ac:dyDescent="0.35">
      <c r="A131" s="243" t="str">
        <f t="shared" ref="A131:A154" si="103">+A100</f>
        <v>ACHATS</v>
      </c>
      <c r="B131" s="440"/>
      <c r="C131" s="441"/>
      <c r="D131" s="441"/>
      <c r="E131" s="441"/>
      <c r="F131" s="441"/>
      <c r="G131" s="441"/>
      <c r="H131" s="441"/>
      <c r="I131" s="441"/>
      <c r="J131" s="441"/>
      <c r="K131" s="441"/>
      <c r="L131" s="441"/>
      <c r="M131" s="442"/>
      <c r="N131" s="252">
        <f t="shared" ref="N131:N138" si="104">+SUM(B131:M131)</f>
        <v>0</v>
      </c>
    </row>
    <row r="132" spans="1:14" ht="21" x14ac:dyDescent="0.35">
      <c r="A132" s="244" t="str">
        <f t="shared" si="103"/>
        <v>Achats de ,,,</v>
      </c>
      <c r="B132" s="245">
        <f>+M101</f>
        <v>110096328.88023981</v>
      </c>
      <c r="C132" s="526">
        <f>+B132*1.15</f>
        <v>126610778.21227577</v>
      </c>
      <c r="D132" s="28">
        <f t="shared" ref="D132:M132" si="105">+C132*1.15</f>
        <v>145602394.94411713</v>
      </c>
      <c r="E132" s="28">
        <f t="shared" si="105"/>
        <v>167442754.18573469</v>
      </c>
      <c r="F132" s="28">
        <f t="shared" si="105"/>
        <v>192559167.31359488</v>
      </c>
      <c r="G132" s="28">
        <f t="shared" si="105"/>
        <v>221443042.4106341</v>
      </c>
      <c r="H132" s="28">
        <f t="shared" si="105"/>
        <v>254659498.77222919</v>
      </c>
      <c r="I132" s="28">
        <f t="shared" si="105"/>
        <v>292858423.58806354</v>
      </c>
      <c r="J132" s="28">
        <f t="shared" si="105"/>
        <v>336787187.12627304</v>
      </c>
      <c r="K132" s="28">
        <f t="shared" si="105"/>
        <v>387305265.19521397</v>
      </c>
      <c r="L132" s="28">
        <f t="shared" si="105"/>
        <v>445401054.97449601</v>
      </c>
      <c r="M132" s="28">
        <f t="shared" si="105"/>
        <v>512211213.22067034</v>
      </c>
      <c r="N132" s="234">
        <f t="shared" si="104"/>
        <v>3192977108.8235421</v>
      </c>
    </row>
    <row r="133" spans="1:14" ht="21" x14ac:dyDescent="0.35">
      <c r="A133" s="244" t="str">
        <f t="shared" si="103"/>
        <v>Achat de fourniture de bureau</v>
      </c>
      <c r="B133" s="245">
        <f t="shared" ref="B133:B137" si="106">+M102</f>
        <v>32794651.155816089</v>
      </c>
      <c r="C133" s="526">
        <f t="shared" ref="C133:M133" si="107">+B133*1.15</f>
        <v>37713848.829188503</v>
      </c>
      <c r="D133" s="28">
        <f t="shared" si="107"/>
        <v>43370926.153566778</v>
      </c>
      <c r="E133" s="28">
        <f t="shared" si="107"/>
        <v>49876565.076601788</v>
      </c>
      <c r="F133" s="28">
        <f t="shared" si="107"/>
        <v>57358049.838092051</v>
      </c>
      <c r="G133" s="28">
        <f t="shared" si="107"/>
        <v>65961757.313805856</v>
      </c>
      <c r="H133" s="28">
        <f t="shared" si="107"/>
        <v>75856020.910876721</v>
      </c>
      <c r="I133" s="28">
        <f t="shared" si="107"/>
        <v>87234424.047508225</v>
      </c>
      <c r="J133" s="28">
        <f t="shared" si="107"/>
        <v>100319587.65463445</v>
      </c>
      <c r="K133" s="28">
        <f t="shared" si="107"/>
        <v>115367525.80282961</v>
      </c>
      <c r="L133" s="28">
        <f t="shared" si="107"/>
        <v>132672654.67325404</v>
      </c>
      <c r="M133" s="28">
        <f t="shared" si="107"/>
        <v>152573552.87424213</v>
      </c>
      <c r="N133" s="234">
        <f t="shared" si="104"/>
        <v>951099564.3304162</v>
      </c>
    </row>
    <row r="134" spans="1:14" ht="21" x14ac:dyDescent="0.35">
      <c r="A134" s="244" t="str">
        <f t="shared" si="103"/>
        <v>Consommation en Eau</v>
      </c>
      <c r="B134" s="245">
        <f t="shared" si="106"/>
        <v>22019265.776047952</v>
      </c>
      <c r="C134" s="526">
        <f t="shared" ref="C134:M134" si="108">+B134*1.15</f>
        <v>25322155.642455142</v>
      </c>
      <c r="D134" s="28">
        <f t="shared" si="108"/>
        <v>29120478.98882341</v>
      </c>
      <c r="E134" s="28">
        <f t="shared" si="108"/>
        <v>33488550.837146919</v>
      </c>
      <c r="F134" s="28">
        <f t="shared" si="108"/>
        <v>38511833.462718956</v>
      </c>
      <c r="G134" s="28">
        <f t="shared" si="108"/>
        <v>44288608.482126795</v>
      </c>
      <c r="H134" s="28">
        <f t="shared" si="108"/>
        <v>50931899.754445814</v>
      </c>
      <c r="I134" s="28">
        <f t="shared" si="108"/>
        <v>58571684.717612684</v>
      </c>
      <c r="J134" s="28">
        <f t="shared" si="108"/>
        <v>67357437.425254583</v>
      </c>
      <c r="K134" s="28">
        <f t="shared" si="108"/>
        <v>77461053.039042771</v>
      </c>
      <c r="L134" s="28">
        <f t="shared" si="108"/>
        <v>89080210.994899184</v>
      </c>
      <c r="M134" s="28">
        <f t="shared" si="108"/>
        <v>102442242.64413406</v>
      </c>
      <c r="N134" s="234">
        <f t="shared" si="104"/>
        <v>638595421.76470828</v>
      </c>
    </row>
    <row r="135" spans="1:14" ht="21" x14ac:dyDescent="0.35">
      <c r="A135" s="244" t="str">
        <f t="shared" si="103"/>
        <v>Consommation en Electricité</v>
      </c>
      <c r="B135" s="245">
        <f t="shared" si="106"/>
        <v>44038531.552095905</v>
      </c>
      <c r="C135" s="526">
        <f t="shared" ref="C135:M135" si="109">+B135*1.15</f>
        <v>50644311.284910284</v>
      </c>
      <c r="D135" s="28">
        <f t="shared" si="109"/>
        <v>58240957.97764682</v>
      </c>
      <c r="E135" s="28">
        <f t="shared" si="109"/>
        <v>66977101.674293838</v>
      </c>
      <c r="F135" s="28">
        <f t="shared" si="109"/>
        <v>77023666.925437912</v>
      </c>
      <c r="G135" s="28">
        <f t="shared" si="109"/>
        <v>88577216.96425359</v>
      </c>
      <c r="H135" s="28">
        <f t="shared" si="109"/>
        <v>101863799.50889163</v>
      </c>
      <c r="I135" s="28">
        <f t="shared" si="109"/>
        <v>117143369.43522537</v>
      </c>
      <c r="J135" s="28">
        <f t="shared" si="109"/>
        <v>134714874.85050917</v>
      </c>
      <c r="K135" s="28">
        <f t="shared" si="109"/>
        <v>154922106.07808554</v>
      </c>
      <c r="L135" s="28">
        <f t="shared" si="109"/>
        <v>178160421.98979837</v>
      </c>
      <c r="M135" s="28">
        <f t="shared" si="109"/>
        <v>204884485.28826812</v>
      </c>
      <c r="N135" s="234">
        <f t="shared" si="104"/>
        <v>1277190843.5294166</v>
      </c>
    </row>
    <row r="136" spans="1:14" ht="21" x14ac:dyDescent="0.35">
      <c r="A136" s="244" t="str">
        <f t="shared" si="103"/>
        <v>Produits d'entretien</v>
      </c>
      <c r="B136" s="245">
        <f t="shared" si="106"/>
        <v>11243880.396279799</v>
      </c>
      <c r="C136" s="526">
        <f t="shared" ref="C136:M136" si="110">+B136*1.15</f>
        <v>12930462.455721768</v>
      </c>
      <c r="D136" s="28">
        <f t="shared" si="110"/>
        <v>14870031.824080031</v>
      </c>
      <c r="E136" s="28">
        <f t="shared" si="110"/>
        <v>17100536.597692035</v>
      </c>
      <c r="F136" s="28">
        <f t="shared" si="110"/>
        <v>19665617.087345839</v>
      </c>
      <c r="G136" s="28">
        <f t="shared" si="110"/>
        <v>22615459.650447711</v>
      </c>
      <c r="H136" s="28">
        <f t="shared" si="110"/>
        <v>26007778.598014865</v>
      </c>
      <c r="I136" s="28">
        <f t="shared" si="110"/>
        <v>29908945.387717094</v>
      </c>
      <c r="J136" s="28">
        <f t="shared" si="110"/>
        <v>34395287.195874654</v>
      </c>
      <c r="K136" s="28">
        <f t="shared" si="110"/>
        <v>39554580.275255851</v>
      </c>
      <c r="L136" s="28">
        <f t="shared" si="110"/>
        <v>45487767.316544227</v>
      </c>
      <c r="M136" s="28">
        <f t="shared" si="110"/>
        <v>52310932.414025858</v>
      </c>
      <c r="N136" s="234">
        <f t="shared" si="104"/>
        <v>326091279.1989997</v>
      </c>
    </row>
    <row r="137" spans="1:14" ht="21" x14ac:dyDescent="0.35">
      <c r="A137" s="244" t="str">
        <f t="shared" si="103"/>
        <v>Carburant</v>
      </c>
      <c r="B137" s="245">
        <f t="shared" si="106"/>
        <v>32794651.155816089</v>
      </c>
      <c r="C137" s="526">
        <f t="shared" ref="C137:M137" si="111">+B137*1.15</f>
        <v>37713848.829188503</v>
      </c>
      <c r="D137" s="28">
        <f t="shared" si="111"/>
        <v>43370926.153566778</v>
      </c>
      <c r="E137" s="28">
        <f t="shared" si="111"/>
        <v>49876565.076601788</v>
      </c>
      <c r="F137" s="28">
        <f t="shared" si="111"/>
        <v>57358049.838092051</v>
      </c>
      <c r="G137" s="28">
        <f t="shared" si="111"/>
        <v>65961757.313805856</v>
      </c>
      <c r="H137" s="28">
        <f t="shared" si="111"/>
        <v>75856020.910876721</v>
      </c>
      <c r="I137" s="28">
        <f t="shared" si="111"/>
        <v>87234424.047508225</v>
      </c>
      <c r="J137" s="28">
        <f t="shared" si="111"/>
        <v>100319587.65463445</v>
      </c>
      <c r="K137" s="28">
        <f t="shared" si="111"/>
        <v>115367525.80282961</v>
      </c>
      <c r="L137" s="28">
        <f t="shared" si="111"/>
        <v>132672654.67325404</v>
      </c>
      <c r="M137" s="28">
        <f t="shared" si="111"/>
        <v>152573552.87424213</v>
      </c>
      <c r="N137" s="234">
        <f t="shared" si="104"/>
        <v>951099564.3304162</v>
      </c>
    </row>
    <row r="138" spans="1:14" ht="21" x14ac:dyDescent="0.35">
      <c r="A138" s="246" t="str">
        <f t="shared" si="103"/>
        <v>TOTAL ACHATS</v>
      </c>
      <c r="B138" s="262">
        <f t="shared" ref="B138:M138" si="112">SUM(B132:B137)</f>
        <v>252987308.91629565</v>
      </c>
      <c r="C138" s="262">
        <f t="shared" si="112"/>
        <v>290935405.25373995</v>
      </c>
      <c r="D138" s="262">
        <f t="shared" si="112"/>
        <v>334575716.04180098</v>
      </c>
      <c r="E138" s="262">
        <f t="shared" si="112"/>
        <v>384762073.44807106</v>
      </c>
      <c r="F138" s="262">
        <f t="shared" si="112"/>
        <v>442476384.46528167</v>
      </c>
      <c r="G138" s="262">
        <f t="shared" si="112"/>
        <v>508847842.13507396</v>
      </c>
      <c r="H138" s="249">
        <f t="shared" si="112"/>
        <v>585175018.45533502</v>
      </c>
      <c r="I138" s="18">
        <f t="shared" si="112"/>
        <v>672951271.2236352</v>
      </c>
      <c r="J138" s="18">
        <f t="shared" si="112"/>
        <v>773893961.90718043</v>
      </c>
      <c r="K138" s="18">
        <f t="shared" si="112"/>
        <v>889978056.19325733</v>
      </c>
      <c r="L138" s="18">
        <f t="shared" si="112"/>
        <v>1023474764.6222457</v>
      </c>
      <c r="M138" s="18">
        <f t="shared" si="112"/>
        <v>1176995979.3155828</v>
      </c>
      <c r="N138" s="234">
        <f t="shared" si="104"/>
        <v>7337053781.977499</v>
      </c>
    </row>
    <row r="139" spans="1:14" ht="21" x14ac:dyDescent="0.25">
      <c r="A139" s="430" t="str">
        <f t="shared" si="103"/>
        <v>CHARGES EXTERNES</v>
      </c>
      <c r="B139" s="431"/>
      <c r="C139" s="431"/>
      <c r="D139" s="431"/>
      <c r="E139" s="431"/>
      <c r="F139" s="431"/>
      <c r="G139" s="431"/>
      <c r="H139" s="431"/>
      <c r="I139" s="431"/>
      <c r="J139" s="431"/>
      <c r="K139" s="431"/>
      <c r="L139" s="431"/>
      <c r="M139" s="432"/>
      <c r="N139" s="234"/>
    </row>
    <row r="140" spans="1:14" ht="21" x14ac:dyDescent="0.35">
      <c r="A140" s="244" t="str">
        <f t="shared" si="103"/>
        <v>Loyer</v>
      </c>
      <c r="B140" s="245">
        <f>+M109</f>
        <v>272664099.60978532</v>
      </c>
      <c r="C140" s="526">
        <f>+B140*1.15</f>
        <v>313563714.55125308</v>
      </c>
      <c r="D140" s="28">
        <f t="shared" ref="D140:M140" si="113">+C140*1.15</f>
        <v>360598271.73394102</v>
      </c>
      <c r="E140" s="28">
        <f t="shared" si="113"/>
        <v>414688012.49403214</v>
      </c>
      <c r="F140" s="28">
        <f t="shared" si="113"/>
        <v>476891214.36813694</v>
      </c>
      <c r="G140" s="28">
        <f t="shared" si="113"/>
        <v>548424896.52335739</v>
      </c>
      <c r="H140" s="28">
        <f t="shared" si="113"/>
        <v>630688631.00186098</v>
      </c>
      <c r="I140" s="28">
        <f t="shared" si="113"/>
        <v>725291925.65214002</v>
      </c>
      <c r="J140" s="28">
        <f t="shared" si="113"/>
        <v>834085714.49996102</v>
      </c>
      <c r="K140" s="28">
        <f t="shared" si="113"/>
        <v>959198571.67495513</v>
      </c>
      <c r="L140" s="28">
        <f t="shared" si="113"/>
        <v>1103078357.4261982</v>
      </c>
      <c r="M140" s="28">
        <f t="shared" si="113"/>
        <v>1268540111.040128</v>
      </c>
      <c r="N140" s="234">
        <f>+SUM(B140:M140)</f>
        <v>7907713520.5757494</v>
      </c>
    </row>
    <row r="141" spans="1:14" ht="21" x14ac:dyDescent="0.35">
      <c r="A141" s="244" t="str">
        <f t="shared" si="103"/>
        <v>Frais de télécommunication</v>
      </c>
      <c r="B141" s="245">
        <f t="shared" ref="B141:B143" si="114">+M110</f>
        <v>54813916.931864105</v>
      </c>
      <c r="C141" s="526">
        <f t="shared" ref="C141:M141" si="115">+B141*1.15</f>
        <v>63036004.471643716</v>
      </c>
      <c r="D141" s="28">
        <f t="shared" si="115"/>
        <v>72491405.142390266</v>
      </c>
      <c r="E141" s="28">
        <f t="shared" si="115"/>
        <v>83365115.913748801</v>
      </c>
      <c r="F141" s="28">
        <f t="shared" si="115"/>
        <v>95869883.300811112</v>
      </c>
      <c r="G141" s="28">
        <f t="shared" si="115"/>
        <v>110250365.79593277</v>
      </c>
      <c r="H141" s="28">
        <f t="shared" si="115"/>
        <v>126787920.66532268</v>
      </c>
      <c r="I141" s="28">
        <f t="shared" si="115"/>
        <v>145806108.76512107</v>
      </c>
      <c r="J141" s="28">
        <f t="shared" si="115"/>
        <v>167677025.07988921</v>
      </c>
      <c r="K141" s="28">
        <f t="shared" si="115"/>
        <v>192828578.84187257</v>
      </c>
      <c r="L141" s="28">
        <f t="shared" si="115"/>
        <v>221752865.66815343</v>
      </c>
      <c r="M141" s="28">
        <f t="shared" si="115"/>
        <v>255015795.51837644</v>
      </c>
      <c r="N141" s="234">
        <f>+SUM(B141:M141)</f>
        <v>1589694986.0951262</v>
      </c>
    </row>
    <row r="142" spans="1:14" ht="21" x14ac:dyDescent="0.35">
      <c r="A142" s="244" t="str">
        <f t="shared" si="103"/>
        <v>Voyages et Déplacements</v>
      </c>
      <c r="B142" s="245">
        <f t="shared" si="114"/>
        <v>98383953.467448235</v>
      </c>
      <c r="C142" s="526">
        <f t="shared" ref="C142:M142" si="116">+B142*1.15</f>
        <v>113141546.48756546</v>
      </c>
      <c r="D142" s="28">
        <f t="shared" si="116"/>
        <v>130112778.46070027</v>
      </c>
      <c r="E142" s="28">
        <f t="shared" si="116"/>
        <v>149629695.22980529</v>
      </c>
      <c r="F142" s="28">
        <f t="shared" si="116"/>
        <v>172074149.51427606</v>
      </c>
      <c r="G142" s="28">
        <f t="shared" si="116"/>
        <v>197885271.94141746</v>
      </c>
      <c r="H142" s="28">
        <f t="shared" si="116"/>
        <v>227568062.73263004</v>
      </c>
      <c r="I142" s="28">
        <f t="shared" si="116"/>
        <v>261703272.14252454</v>
      </c>
      <c r="J142" s="28">
        <f t="shared" si="116"/>
        <v>300958762.96390319</v>
      </c>
      <c r="K142" s="28">
        <f t="shared" si="116"/>
        <v>346102577.40848863</v>
      </c>
      <c r="L142" s="28">
        <f t="shared" si="116"/>
        <v>398017964.01976192</v>
      </c>
      <c r="M142" s="28">
        <f t="shared" si="116"/>
        <v>457720658.6227262</v>
      </c>
      <c r="N142" s="234">
        <f>+SUM(B142:M142)</f>
        <v>2853298692.9912472</v>
      </c>
    </row>
    <row r="143" spans="1:14" ht="21" x14ac:dyDescent="0.35">
      <c r="A143" s="244" t="str">
        <f t="shared" si="103"/>
        <v>Pétits materiels et outillages</v>
      </c>
      <c r="B143" s="245">
        <f t="shared" si="114"/>
        <v>32794651.155816089</v>
      </c>
      <c r="C143" s="526">
        <f t="shared" ref="C143:M143" si="117">+B143*1.15</f>
        <v>37713848.829188503</v>
      </c>
      <c r="D143" s="28">
        <f t="shared" si="117"/>
        <v>43370926.153566778</v>
      </c>
      <c r="E143" s="28">
        <f t="shared" si="117"/>
        <v>49876565.076601788</v>
      </c>
      <c r="F143" s="28">
        <f t="shared" si="117"/>
        <v>57358049.838092051</v>
      </c>
      <c r="G143" s="28">
        <f t="shared" si="117"/>
        <v>65961757.313805856</v>
      </c>
      <c r="H143" s="28">
        <f t="shared" si="117"/>
        <v>75856020.910876721</v>
      </c>
      <c r="I143" s="28">
        <f t="shared" si="117"/>
        <v>87234424.047508225</v>
      </c>
      <c r="J143" s="28">
        <f t="shared" si="117"/>
        <v>100319587.65463445</v>
      </c>
      <c r="K143" s="28">
        <f t="shared" si="117"/>
        <v>115367525.80282961</v>
      </c>
      <c r="L143" s="28">
        <f t="shared" si="117"/>
        <v>132672654.67325404</v>
      </c>
      <c r="M143" s="28">
        <f t="shared" si="117"/>
        <v>152573552.87424213</v>
      </c>
      <c r="N143" s="234">
        <f>+SUM(B143:M143)</f>
        <v>951099564.3304162</v>
      </c>
    </row>
    <row r="144" spans="1:14" ht="21" x14ac:dyDescent="0.25">
      <c r="A144" s="248" t="str">
        <f t="shared" si="103"/>
        <v>TOTAL CHARGES EXTERNES</v>
      </c>
      <c r="B144" s="249">
        <f t="shared" ref="B144:M144" si="118">SUM(B140:B143)</f>
        <v>458656621.16491371</v>
      </c>
      <c r="C144" s="18">
        <f t="shared" si="118"/>
        <v>527455114.33965075</v>
      </c>
      <c r="D144" s="18">
        <f t="shared" si="118"/>
        <v>606573381.49059844</v>
      </c>
      <c r="E144" s="18">
        <f t="shared" si="118"/>
        <v>697559388.71418798</v>
      </c>
      <c r="F144" s="18">
        <f t="shared" si="118"/>
        <v>802193297.02131617</v>
      </c>
      <c r="G144" s="18">
        <f t="shared" si="118"/>
        <v>922522291.57451344</v>
      </c>
      <c r="H144" s="18">
        <f t="shared" si="118"/>
        <v>1060900635.3106904</v>
      </c>
      <c r="I144" s="18">
        <f t="shared" si="118"/>
        <v>1220035730.6072938</v>
      </c>
      <c r="J144" s="18">
        <f t="shared" si="118"/>
        <v>1403041090.1983879</v>
      </c>
      <c r="K144" s="18">
        <f t="shared" si="118"/>
        <v>1613497253.7281458</v>
      </c>
      <c r="L144" s="18">
        <f t="shared" si="118"/>
        <v>1855521841.7873678</v>
      </c>
      <c r="M144" s="18">
        <f t="shared" si="118"/>
        <v>2133850118.0554726</v>
      </c>
      <c r="N144" s="234">
        <f>+SUM(B144:M144)</f>
        <v>13301806763.992542</v>
      </c>
    </row>
    <row r="145" spans="1:14" ht="21" x14ac:dyDescent="0.25">
      <c r="A145" s="430" t="str">
        <f t="shared" si="103"/>
        <v>SALAIRES ET CHARGES</v>
      </c>
      <c r="B145" s="431"/>
      <c r="C145" s="431"/>
      <c r="D145" s="431"/>
      <c r="E145" s="431"/>
      <c r="F145" s="431"/>
      <c r="G145" s="431"/>
      <c r="H145" s="431"/>
      <c r="I145" s="431"/>
      <c r="J145" s="431"/>
      <c r="K145" s="431"/>
      <c r="L145" s="431"/>
      <c r="M145" s="432"/>
      <c r="N145" s="234"/>
    </row>
    <row r="146" spans="1:14" ht="21" x14ac:dyDescent="0.35">
      <c r="A146" s="244" t="str">
        <f t="shared" si="103"/>
        <v>Rémunération de personnel</v>
      </c>
      <c r="B146" s="245">
        <f>+M115</f>
        <v>922935182.52796745</v>
      </c>
      <c r="C146" s="526">
        <f>+B146*1.15</f>
        <v>1061375459.9071625</v>
      </c>
      <c r="D146" s="28">
        <f t="shared" ref="D146:M146" si="119">+C146*1.15</f>
        <v>1220581778.8932369</v>
      </c>
      <c r="E146" s="28">
        <f t="shared" si="119"/>
        <v>1403669045.7272222</v>
      </c>
      <c r="F146" s="28">
        <f t="shared" si="119"/>
        <v>1614219402.5863054</v>
      </c>
      <c r="G146" s="28">
        <f t="shared" si="119"/>
        <v>1856352312.974251</v>
      </c>
      <c r="H146" s="28">
        <f t="shared" si="119"/>
        <v>2134805159.9203885</v>
      </c>
      <c r="I146" s="28">
        <f t="shared" si="119"/>
        <v>2455025933.9084463</v>
      </c>
      <c r="J146" s="28">
        <f t="shared" si="119"/>
        <v>2823279823.9947128</v>
      </c>
      <c r="K146" s="28">
        <f t="shared" si="119"/>
        <v>3246771797.5939193</v>
      </c>
      <c r="L146" s="28">
        <f t="shared" si="119"/>
        <v>3733787567.233007</v>
      </c>
      <c r="M146" s="28">
        <f t="shared" si="119"/>
        <v>4293855702.3179579</v>
      </c>
      <c r="N146" s="234">
        <f>+SUM(B146:M146)</f>
        <v>26766659167.584576</v>
      </c>
    </row>
    <row r="147" spans="1:14" ht="21" x14ac:dyDescent="0.35">
      <c r="A147" s="244" t="str">
        <f t="shared" si="103"/>
        <v>Transport de personnel</v>
      </c>
      <c r="B147" s="245">
        <f t="shared" ref="B147:B148" si="120">+M116</f>
        <v>32794651.155816089</v>
      </c>
      <c r="C147" s="526">
        <f t="shared" ref="C147:M147" si="121">+B147*1.15</f>
        <v>37713848.829188503</v>
      </c>
      <c r="D147" s="28">
        <f t="shared" si="121"/>
        <v>43370926.153566778</v>
      </c>
      <c r="E147" s="28">
        <f t="shared" si="121"/>
        <v>49876565.076601788</v>
      </c>
      <c r="F147" s="28">
        <f t="shared" si="121"/>
        <v>57358049.838092051</v>
      </c>
      <c r="G147" s="28">
        <f t="shared" si="121"/>
        <v>65961757.313805856</v>
      </c>
      <c r="H147" s="28">
        <f t="shared" si="121"/>
        <v>75856020.910876721</v>
      </c>
      <c r="I147" s="28">
        <f t="shared" si="121"/>
        <v>87234424.047508225</v>
      </c>
      <c r="J147" s="28">
        <f t="shared" si="121"/>
        <v>100319587.65463445</v>
      </c>
      <c r="K147" s="28">
        <f t="shared" si="121"/>
        <v>115367525.80282961</v>
      </c>
      <c r="L147" s="28">
        <f t="shared" si="121"/>
        <v>132672654.67325404</v>
      </c>
      <c r="M147" s="28">
        <f t="shared" si="121"/>
        <v>152573552.87424213</v>
      </c>
      <c r="N147" s="234">
        <f>+SUM(B147:M147)</f>
        <v>951099564.3304162</v>
      </c>
    </row>
    <row r="148" spans="1:14" ht="21" x14ac:dyDescent="0.35">
      <c r="A148" s="244" t="str">
        <f t="shared" si="103"/>
        <v>Charges sociales</v>
      </c>
      <c r="B148" s="245">
        <f t="shared" si="120"/>
        <v>54813916.931864105</v>
      </c>
      <c r="C148" s="526">
        <f t="shared" ref="C148:M148" si="122">+B148*1.15</f>
        <v>63036004.471643716</v>
      </c>
      <c r="D148" s="28">
        <f t="shared" si="122"/>
        <v>72491405.142390266</v>
      </c>
      <c r="E148" s="28">
        <f t="shared" si="122"/>
        <v>83365115.913748801</v>
      </c>
      <c r="F148" s="28">
        <f t="shared" si="122"/>
        <v>95869883.300811112</v>
      </c>
      <c r="G148" s="28">
        <f t="shared" si="122"/>
        <v>110250365.79593277</v>
      </c>
      <c r="H148" s="28">
        <f t="shared" si="122"/>
        <v>126787920.66532268</v>
      </c>
      <c r="I148" s="28">
        <f t="shared" si="122"/>
        <v>145806108.76512107</v>
      </c>
      <c r="J148" s="28">
        <f t="shared" si="122"/>
        <v>167677025.07988921</v>
      </c>
      <c r="K148" s="28">
        <f t="shared" si="122"/>
        <v>192828578.84187257</v>
      </c>
      <c r="L148" s="28">
        <f t="shared" si="122"/>
        <v>221752865.66815343</v>
      </c>
      <c r="M148" s="28">
        <f t="shared" si="122"/>
        <v>255015795.51837644</v>
      </c>
      <c r="N148" s="234">
        <f>+SUM(B148:M148)</f>
        <v>1589694986.0951262</v>
      </c>
    </row>
    <row r="149" spans="1:14" ht="21" x14ac:dyDescent="0.35">
      <c r="A149" s="246" t="str">
        <f t="shared" si="103"/>
        <v>TOTAL SALAIRES ET CHARGES</v>
      </c>
      <c r="B149" s="249">
        <f t="shared" ref="B149:M149" si="123">SUM(B146:B148)</f>
        <v>1010543750.6156477</v>
      </c>
      <c r="C149" s="18">
        <f t="shared" si="123"/>
        <v>1162125313.2079947</v>
      </c>
      <c r="D149" s="18">
        <f t="shared" si="123"/>
        <v>1336444110.189194</v>
      </c>
      <c r="E149" s="18">
        <f t="shared" si="123"/>
        <v>1536910726.7175727</v>
      </c>
      <c r="F149" s="18">
        <f t="shared" si="123"/>
        <v>1767447335.7252085</v>
      </c>
      <c r="G149" s="18">
        <f t="shared" si="123"/>
        <v>2032564436.0839896</v>
      </c>
      <c r="H149" s="18">
        <f t="shared" si="123"/>
        <v>2337449101.4965878</v>
      </c>
      <c r="I149" s="18">
        <f t="shared" si="123"/>
        <v>2688066466.7210755</v>
      </c>
      <c r="J149" s="18">
        <f t="shared" si="123"/>
        <v>3091276436.7292366</v>
      </c>
      <c r="K149" s="18">
        <f t="shared" si="123"/>
        <v>3554967902.2386217</v>
      </c>
      <c r="L149" s="18">
        <f t="shared" si="123"/>
        <v>4088213087.5744143</v>
      </c>
      <c r="M149" s="18">
        <f t="shared" si="123"/>
        <v>4701445050.7105761</v>
      </c>
      <c r="N149" s="234">
        <f>+SUM(B149:M149)</f>
        <v>29307453718.010117</v>
      </c>
    </row>
    <row r="150" spans="1:14" ht="21" x14ac:dyDescent="0.25">
      <c r="A150" s="430" t="str">
        <f t="shared" si="103"/>
        <v>IMPOTS ET TAXES</v>
      </c>
      <c r="B150" s="431"/>
      <c r="C150" s="431"/>
      <c r="D150" s="431"/>
      <c r="E150" s="431"/>
      <c r="F150" s="431"/>
      <c r="G150" s="431"/>
      <c r="H150" s="431"/>
      <c r="I150" s="431"/>
      <c r="J150" s="431"/>
      <c r="K150" s="431"/>
      <c r="L150" s="431"/>
      <c r="M150" s="432"/>
      <c r="N150" s="234"/>
    </row>
    <row r="151" spans="1:14" ht="21" x14ac:dyDescent="0.35">
      <c r="A151" s="244" t="str">
        <f t="shared" si="103"/>
        <v>Taxe sur les salaires</v>
      </c>
      <c r="B151" s="245">
        <f>+M120</f>
        <v>44038531.552095905</v>
      </c>
      <c r="C151" s="526">
        <f>+B151*1.15</f>
        <v>50644311.284910284</v>
      </c>
      <c r="D151" s="28">
        <f t="shared" ref="D151:M151" si="124">+C151*1.15</f>
        <v>58240957.97764682</v>
      </c>
      <c r="E151" s="28">
        <f t="shared" si="124"/>
        <v>66977101.674293838</v>
      </c>
      <c r="F151" s="28">
        <f t="shared" si="124"/>
        <v>77023666.925437912</v>
      </c>
      <c r="G151" s="28">
        <f t="shared" si="124"/>
        <v>88577216.96425359</v>
      </c>
      <c r="H151" s="28">
        <f t="shared" si="124"/>
        <v>101863799.50889163</v>
      </c>
      <c r="I151" s="28">
        <f t="shared" si="124"/>
        <v>117143369.43522537</v>
      </c>
      <c r="J151" s="28">
        <f t="shared" si="124"/>
        <v>134714874.85050917</v>
      </c>
      <c r="K151" s="28">
        <f t="shared" si="124"/>
        <v>154922106.07808554</v>
      </c>
      <c r="L151" s="28">
        <f t="shared" si="124"/>
        <v>178160421.98979837</v>
      </c>
      <c r="M151" s="28">
        <f t="shared" si="124"/>
        <v>204884485.28826812</v>
      </c>
      <c r="N151" s="234">
        <f>+SUM(B151:M151)</f>
        <v>1277190843.5294166</v>
      </c>
    </row>
    <row r="152" spans="1:14" ht="21" x14ac:dyDescent="0.35">
      <c r="A152" s="244" t="str">
        <f t="shared" si="103"/>
        <v>Autres taxes</v>
      </c>
      <c r="B152" s="245">
        <f>+M121</f>
        <v>32794651.155816089</v>
      </c>
      <c r="C152" s="526">
        <f>+B152*1.15</f>
        <v>37713848.829188503</v>
      </c>
      <c r="D152" s="28">
        <f t="shared" ref="D152:M152" si="125">+C152*1.15</f>
        <v>43370926.153566778</v>
      </c>
      <c r="E152" s="28">
        <f t="shared" si="125"/>
        <v>49876565.076601788</v>
      </c>
      <c r="F152" s="28">
        <f t="shared" si="125"/>
        <v>57358049.838092051</v>
      </c>
      <c r="G152" s="28">
        <f t="shared" si="125"/>
        <v>65961757.313805856</v>
      </c>
      <c r="H152" s="28">
        <f t="shared" si="125"/>
        <v>75856020.910876721</v>
      </c>
      <c r="I152" s="28">
        <f t="shared" si="125"/>
        <v>87234424.047508225</v>
      </c>
      <c r="J152" s="28">
        <f t="shared" si="125"/>
        <v>100319587.65463445</v>
      </c>
      <c r="K152" s="28">
        <f t="shared" si="125"/>
        <v>115367525.80282961</v>
      </c>
      <c r="L152" s="28">
        <f t="shared" si="125"/>
        <v>132672654.67325404</v>
      </c>
      <c r="M152" s="28">
        <f t="shared" si="125"/>
        <v>152573552.87424213</v>
      </c>
      <c r="N152" s="234">
        <f>+SUM(B152:M152)</f>
        <v>951099564.3304162</v>
      </c>
    </row>
    <row r="153" spans="1:14" ht="21" x14ac:dyDescent="0.35">
      <c r="A153" s="246" t="str">
        <f t="shared" si="103"/>
        <v>TOTAL IMPOTS ET TAXES</v>
      </c>
      <c r="B153" s="249">
        <f t="shared" ref="B153:M153" si="126">SUM(B151:B152)</f>
        <v>76833182.707911998</v>
      </c>
      <c r="C153" s="18">
        <f t="shared" si="126"/>
        <v>88358160.114098787</v>
      </c>
      <c r="D153" s="18">
        <f t="shared" si="126"/>
        <v>101611884.13121361</v>
      </c>
      <c r="E153" s="18">
        <f t="shared" si="126"/>
        <v>116853666.75089562</v>
      </c>
      <c r="F153" s="18">
        <f t="shared" si="126"/>
        <v>134381716.76352996</v>
      </c>
      <c r="G153" s="18">
        <f t="shared" si="126"/>
        <v>154538974.27805945</v>
      </c>
      <c r="H153" s="18">
        <f t="shared" si="126"/>
        <v>177719820.41976833</v>
      </c>
      <c r="I153" s="18">
        <f t="shared" si="126"/>
        <v>204377793.48273361</v>
      </c>
      <c r="J153" s="18">
        <f t="shared" si="126"/>
        <v>235034462.50514361</v>
      </c>
      <c r="K153" s="18">
        <f t="shared" si="126"/>
        <v>270289631.88091516</v>
      </c>
      <c r="L153" s="18">
        <f t="shared" si="126"/>
        <v>310833076.66305244</v>
      </c>
      <c r="M153" s="18">
        <f t="shared" si="126"/>
        <v>357458038.16251028</v>
      </c>
      <c r="N153" s="234">
        <f>+SUM(B153:M153)</f>
        <v>2228290407.8598328</v>
      </c>
    </row>
    <row r="154" spans="1:14" ht="21" x14ac:dyDescent="0.35">
      <c r="A154" s="246" t="str">
        <f t="shared" si="103"/>
        <v>TOTAL CHARGES D'EXPLOITATIONS</v>
      </c>
      <c r="B154" s="250">
        <f t="shared" ref="B154:G154" si="127">+B153+B149+B144+B138</f>
        <v>1799020863.4047689</v>
      </c>
      <c r="C154" s="239">
        <f t="shared" si="127"/>
        <v>2068873992.915484</v>
      </c>
      <c r="D154" s="239">
        <f t="shared" si="127"/>
        <v>2379205091.852807</v>
      </c>
      <c r="E154" s="239">
        <f t="shared" si="127"/>
        <v>2736085855.6307273</v>
      </c>
      <c r="F154" s="239">
        <f t="shared" si="127"/>
        <v>3146498733.9753361</v>
      </c>
      <c r="G154" s="239">
        <f t="shared" si="127"/>
        <v>3618473544.0716367</v>
      </c>
      <c r="H154" s="240">
        <f t="shared" ref="H154:M154" si="128">H153+H149+H144+H138</f>
        <v>4161244575.6823816</v>
      </c>
      <c r="I154" s="240">
        <f t="shared" si="128"/>
        <v>4785431262.0347385</v>
      </c>
      <c r="J154" s="240">
        <f t="shared" si="128"/>
        <v>5503245951.3399487</v>
      </c>
      <c r="K154" s="240">
        <f t="shared" si="128"/>
        <v>6328732844.0409403</v>
      </c>
      <c r="L154" s="240">
        <f t="shared" si="128"/>
        <v>7278042770.6470804</v>
      </c>
      <c r="M154" s="240">
        <f t="shared" si="128"/>
        <v>8369749186.2441406</v>
      </c>
      <c r="N154" s="234">
        <f>+SUM(B154:M154)</f>
        <v>52174604671.839989</v>
      </c>
    </row>
  </sheetData>
  <mergeCells count="19">
    <mergeCell ref="B131:M131"/>
    <mergeCell ref="A139:M139"/>
    <mergeCell ref="A145:M145"/>
    <mergeCell ref="A150:M150"/>
    <mergeCell ref="A88:M88"/>
    <mergeCell ref="A100:M100"/>
    <mergeCell ref="A108:M108"/>
    <mergeCell ref="A114:M114"/>
    <mergeCell ref="A119:M119"/>
    <mergeCell ref="A52:M52"/>
    <mergeCell ref="A57:M57"/>
    <mergeCell ref="A69:M69"/>
    <mergeCell ref="A77:M77"/>
    <mergeCell ref="A83:M83"/>
    <mergeCell ref="A7:M7"/>
    <mergeCell ref="A15:M15"/>
    <mergeCell ref="A21:M21"/>
    <mergeCell ref="A26:M26"/>
    <mergeCell ref="A46:M46"/>
  </mergeCells>
  <pageMargins left="0.70000000000000007" right="0.70000000000000007" top="0.75" bottom="0.75" header="0.30000000000000004" footer="0.30000000000000004"/>
  <pageSetup paperSize="9" scale="23" fitToWidth="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G11"/>
  <sheetViews>
    <sheetView showGridLines="0" workbookViewId="0">
      <selection activeCell="E10" sqref="E10"/>
    </sheetView>
  </sheetViews>
  <sheetFormatPr baseColWidth="10" defaultRowHeight="15" x14ac:dyDescent="0.25"/>
  <cols>
    <col min="1" max="1" width="43.7109375" bestFit="1" customWidth="1"/>
    <col min="2" max="3" width="15.28515625" bestFit="1" customWidth="1"/>
    <col min="4" max="4" width="17.42578125" bestFit="1" customWidth="1"/>
    <col min="5" max="7" width="18.85546875" bestFit="1" customWidth="1"/>
    <col min="8" max="8" width="11.42578125" customWidth="1"/>
  </cols>
  <sheetData>
    <row r="2" spans="1:7" ht="21" x14ac:dyDescent="0.35">
      <c r="A2" s="412" t="s">
        <v>219</v>
      </c>
      <c r="B2" s="412"/>
      <c r="C2" s="412"/>
      <c r="D2" s="412"/>
      <c r="E2" s="412"/>
      <c r="F2" s="412"/>
      <c r="G2" s="412"/>
    </row>
    <row r="3" spans="1:7" ht="21" x14ac:dyDescent="0.35">
      <c r="A3" s="87"/>
      <c r="B3" s="87"/>
      <c r="C3" s="87"/>
      <c r="D3" s="87"/>
      <c r="E3" s="87"/>
      <c r="F3" s="87"/>
      <c r="G3" s="87"/>
    </row>
    <row r="4" spans="1:7" ht="21" x14ac:dyDescent="0.35">
      <c r="A4" s="87"/>
      <c r="B4" s="87"/>
      <c r="C4" s="87"/>
      <c r="D4" s="87"/>
      <c r="E4" s="87"/>
      <c r="F4" s="87"/>
      <c r="G4" s="87"/>
    </row>
    <row r="5" spans="1:7" ht="21.75" thickBot="1" x14ac:dyDescent="0.4">
      <c r="A5" s="87"/>
      <c r="B5" s="87"/>
      <c r="C5" s="87"/>
      <c r="D5" s="87"/>
      <c r="E5" s="87"/>
      <c r="F5" s="87"/>
      <c r="G5" s="87"/>
    </row>
    <row r="6" spans="1:7" ht="21.75" thickBot="1" x14ac:dyDescent="0.3">
      <c r="A6" s="540" t="s">
        <v>160</v>
      </c>
      <c r="B6" s="541">
        <f>BASE_INFORMATION!A14</f>
        <v>2026</v>
      </c>
      <c r="C6" s="541">
        <f>BASE_INFORMATION!B14</f>
        <v>2027</v>
      </c>
      <c r="D6" s="541">
        <f>BASE_INFORMATION!C14</f>
        <v>2028</v>
      </c>
      <c r="E6" s="541">
        <f>BASE_INFORMATION!D14</f>
        <v>2029</v>
      </c>
      <c r="F6" s="541">
        <f>BASE_INFORMATION!E14</f>
        <v>2030</v>
      </c>
      <c r="G6" s="542" t="s">
        <v>24</v>
      </c>
    </row>
    <row r="7" spans="1:7" ht="48" customHeight="1" x14ac:dyDescent="0.25">
      <c r="A7" s="545" t="str">
        <f>+'Chifre d''affaire-mens_anné_N'!A8</f>
        <v>Activité principal du chiffre d'affaire</v>
      </c>
      <c r="B7" s="546">
        <f>+'Detail_Chiffr d''affair-Previsl'!N8</f>
        <v>59250406.436551921</v>
      </c>
      <c r="C7" s="546">
        <f>+'Detail_Chiffr d''affair-Previsl'!N19</f>
        <v>275515840.01333487</v>
      </c>
      <c r="D7" s="546">
        <f>+'Detail_Chiffr d''affair-Previsl'!N31</f>
        <v>1305075031.6421125</v>
      </c>
      <c r="E7" s="546">
        <f>+'Detail_Chiffr d''affair-Previsl'!N43</f>
        <v>6090350147.6631908</v>
      </c>
      <c r="F7" s="546">
        <f>+'Detail_Chiffr d''affair-Previsl'!N55</f>
        <v>28363630687.688591</v>
      </c>
      <c r="G7" s="547">
        <f>SUM(B7:F7)</f>
        <v>36093822113.443779</v>
      </c>
    </row>
    <row r="8" spans="1:7" ht="51" customHeight="1" x14ac:dyDescent="0.25">
      <c r="A8" s="548" t="str">
        <f>+'Chifre d''affaire-mens_anné_N'!A9</f>
        <v>Activité secondaire du chiffre d'affaire</v>
      </c>
      <c r="B8" s="299">
        <f>+'Detail_Chiffr d''affair-Previsl'!N9</f>
        <v>31176792.422561578</v>
      </c>
      <c r="C8" s="299">
        <f>+'Detail_Chiffr d''affair-Previsl'!N20</f>
        <v>145008336.8491236</v>
      </c>
      <c r="D8" s="299">
        <f>+'Detail_Chiffr d''affair-Previsl'!N32</f>
        <v>725041684.24561799</v>
      </c>
      <c r="E8" s="299">
        <f>+'Detail_Chiffr d''affair-Previsl'!N44</f>
        <v>3393195082.2694931</v>
      </c>
      <c r="F8" s="299">
        <f>+'Detail_Chiffr d''affair-Previsl'!N56</f>
        <v>15805908716.554476</v>
      </c>
      <c r="G8" s="549">
        <f>SUM(B8:F8)</f>
        <v>20100330612.34127</v>
      </c>
    </row>
    <row r="9" spans="1:7" ht="47.1" customHeight="1" thickBot="1" x14ac:dyDescent="0.3">
      <c r="A9" s="550" t="str">
        <f>+'Chifre d''affaire-mens_anné_N'!A10</f>
        <v>Activité 3 du chiffre d'affaire</v>
      </c>
      <c r="B9" s="551">
        <f>+'Detail_Chiffr d''affair-Previsl'!N10</f>
        <v>15602897.044965701</v>
      </c>
      <c r="C9" s="551">
        <f>+'Detail_Chiffr d''affair-Previsl'!N21</f>
        <v>72504168.424561799</v>
      </c>
      <c r="D9" s="551">
        <f>+'Detail_Chiffr d''affair-Previsl'!N33</f>
        <v>348020008.43789667</v>
      </c>
      <c r="E9" s="551">
        <f>+'Detail_Chiffr d''affair-Previsl'!N45</f>
        <v>1624093372.7101846</v>
      </c>
      <c r="F9" s="551">
        <f>+'Detail_Chiffr d''affair-Previsl'!N57</f>
        <v>7569435183.5242548</v>
      </c>
      <c r="G9" s="552">
        <f>SUM(B9:F9)</f>
        <v>9629655630.1418629</v>
      </c>
    </row>
    <row r="10" spans="1:7" ht="45.95" customHeight="1" thickBot="1" x14ac:dyDescent="0.3">
      <c r="A10" s="543" t="s">
        <v>45</v>
      </c>
      <c r="B10" s="544">
        <f t="shared" ref="B10:G10" si="0">+SUM(B7:B9)</f>
        <v>106030095.9040792</v>
      </c>
      <c r="C10" s="544">
        <f t="shared" si="0"/>
        <v>493028345.28702027</v>
      </c>
      <c r="D10" s="544">
        <f t="shared" si="0"/>
        <v>2378136724.3256273</v>
      </c>
      <c r="E10" s="544">
        <f t="shared" si="0"/>
        <v>11107638602.642868</v>
      </c>
      <c r="F10" s="544">
        <f t="shared" si="0"/>
        <v>51738974587.767319</v>
      </c>
      <c r="G10" s="544">
        <f t="shared" si="0"/>
        <v>65823808355.92691</v>
      </c>
    </row>
    <row r="11" spans="1:7" ht="21" x14ac:dyDescent="0.35">
      <c r="A11" s="43"/>
      <c r="B11" s="43"/>
      <c r="C11" s="43"/>
      <c r="D11" s="43"/>
      <c r="E11" s="43"/>
      <c r="F11" s="43"/>
      <c r="G11" s="43"/>
    </row>
  </sheetData>
  <mergeCells count="1">
    <mergeCell ref="A2:G2"/>
  </mergeCells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27"/>
  <sheetViews>
    <sheetView showGridLines="0" topLeftCell="A6" workbookViewId="0">
      <selection activeCell="G29" sqref="G29"/>
    </sheetView>
  </sheetViews>
  <sheetFormatPr baseColWidth="10" defaultRowHeight="15" x14ac:dyDescent="0.25"/>
  <cols>
    <col min="1" max="1" width="40.85546875" bestFit="1" customWidth="1"/>
    <col min="2" max="3" width="12.42578125" bestFit="1" customWidth="1"/>
    <col min="4" max="4" width="14.140625" bestFit="1" customWidth="1"/>
    <col min="5" max="6" width="15.28515625" bestFit="1" customWidth="1"/>
    <col min="7" max="7" width="18.85546875" bestFit="1" customWidth="1"/>
    <col min="8" max="8" width="11.42578125" customWidth="1"/>
  </cols>
  <sheetData>
    <row r="1" spans="1:7" ht="18.75" x14ac:dyDescent="0.3">
      <c r="A1" s="443" t="s">
        <v>220</v>
      </c>
      <c r="B1" s="443"/>
      <c r="C1" s="443"/>
      <c r="D1" s="443"/>
      <c r="E1" s="443"/>
      <c r="F1" s="443"/>
      <c r="G1" s="443"/>
    </row>
    <row r="2" spans="1:7" ht="18.75" x14ac:dyDescent="0.3">
      <c r="A2" s="88"/>
      <c r="B2" s="88"/>
      <c r="C2" s="88"/>
      <c r="D2" s="88"/>
      <c r="E2" s="88"/>
      <c r="F2" s="88"/>
      <c r="G2" s="88"/>
    </row>
    <row r="3" spans="1:7" ht="21.95" customHeight="1" x14ac:dyDescent="0.3">
      <c r="A3" s="89" t="s">
        <v>160</v>
      </c>
      <c r="B3" s="90">
        <f>BASE_INFORMATION!A14</f>
        <v>2026</v>
      </c>
      <c r="C3" s="90">
        <f>BASE_INFORMATION!B14</f>
        <v>2027</v>
      </c>
      <c r="D3" s="90">
        <f>BASE_INFORMATION!C14</f>
        <v>2028</v>
      </c>
      <c r="E3" s="90">
        <f>BASE_INFORMATION!D14</f>
        <v>2029</v>
      </c>
      <c r="F3" s="90">
        <f>BASE_INFORMATION!E14</f>
        <v>2030</v>
      </c>
      <c r="G3" s="91" t="s">
        <v>221</v>
      </c>
    </row>
    <row r="4" spans="1:7" ht="18.75" x14ac:dyDescent="0.3">
      <c r="A4" s="444" t="e">
        <f>+'Detail charge d''exploit_previsl'!A7</f>
        <v>#REF!</v>
      </c>
      <c r="B4" s="444"/>
      <c r="C4" s="444"/>
      <c r="D4" s="444"/>
      <c r="E4" s="444"/>
      <c r="F4" s="444"/>
      <c r="G4" s="444"/>
    </row>
    <row r="5" spans="1:7" ht="18.75" x14ac:dyDescent="0.3">
      <c r="A5" s="92" t="str">
        <f>+'Detail charge d''exploit_previsl'!A8</f>
        <v xml:space="preserve">Achats de ,,, </v>
      </c>
      <c r="B5" s="93">
        <f>+'Detail charge d''exploit_previsl'!N8</f>
        <v>6815391.8319088118</v>
      </c>
      <c r="C5" s="93">
        <f>+'Detail charge d''exploit_previsl'!N39</f>
        <v>31707870.319578059</v>
      </c>
      <c r="D5" s="93">
        <f>+'Detail charge d''exploit_previsl'!N70</f>
        <v>147517423.06232098</v>
      </c>
      <c r="E5" s="93">
        <f>+'Detail charge d''exploit_previsl'!N101</f>
        <v>686308789.82468891</v>
      </c>
      <c r="F5" s="93">
        <f>+'Detail charge d''exploit_previsl'!N132</f>
        <v>3192977108.8235421</v>
      </c>
      <c r="G5" s="94">
        <f t="shared" ref="G5:G11" si="0">SUM(B5:F5)</f>
        <v>4065326583.8620386</v>
      </c>
    </row>
    <row r="6" spans="1:7" ht="18.75" x14ac:dyDescent="0.3">
      <c r="A6" s="92" t="str">
        <f>+'Detail charge d''exploit_previsl'!A9</f>
        <v>Achat de fourniture de bureau</v>
      </c>
      <c r="B6" s="93">
        <f>+'Detail charge d''exploit_previsl'!N9</f>
        <v>2030116.7158877307</v>
      </c>
      <c r="C6" s="93">
        <f>+'Detail charge d''exploit_previsl'!N40</f>
        <v>9444897.5420019701</v>
      </c>
      <c r="D6" s="93">
        <f>+'Detail charge d''exploit_previsl'!N71</f>
        <v>43941360.061116867</v>
      </c>
      <c r="E6" s="93">
        <f>+'Detail charge d''exploit_previsl'!N102</f>
        <v>204432405.4796944</v>
      </c>
      <c r="F6" s="93">
        <f>+'Detail charge d''exploit_previsl'!N133</f>
        <v>951099564.3304162</v>
      </c>
      <c r="G6" s="94">
        <f t="shared" si="0"/>
        <v>1210948344.1291173</v>
      </c>
    </row>
    <row r="7" spans="1:7" ht="18.75" x14ac:dyDescent="0.3">
      <c r="A7" s="92" t="str">
        <f>+'Detail charge d''exploit_previsl'!A10</f>
        <v>Consommation en Eau</v>
      </c>
      <c r="B7" s="93">
        <f>+'Detail charge d''exploit_previsl'!N10</f>
        <v>1363078.3663817619</v>
      </c>
      <c r="C7" s="93">
        <f>+'Detail charge d''exploit_previsl'!N41</f>
        <v>6341574.0639156066</v>
      </c>
      <c r="D7" s="93">
        <f>+'Detail charge d''exploit_previsl'!N72</f>
        <v>29503484.612464175</v>
      </c>
      <c r="E7" s="93">
        <f>+'Detail charge d''exploit_previsl'!N103</f>
        <v>137261757.96493772</v>
      </c>
      <c r="F7" s="93">
        <f>+'Detail charge d''exploit_previsl'!N134</f>
        <v>638595421.76470828</v>
      </c>
      <c r="G7" s="94">
        <f t="shared" si="0"/>
        <v>813065316.77240753</v>
      </c>
    </row>
    <row r="8" spans="1:7" ht="18.75" x14ac:dyDescent="0.3">
      <c r="A8" s="92" t="str">
        <f>+'Detail charge d''exploit_previsl'!A11</f>
        <v>Consommation en Electricité</v>
      </c>
      <c r="B8" s="93">
        <f>+'Detail charge d''exploit_previsl'!N11</f>
        <v>2726156.7327635237</v>
      </c>
      <c r="C8" s="93">
        <f>+'Detail charge d''exploit_previsl'!N42</f>
        <v>12683148.127831213</v>
      </c>
      <c r="D8" s="93">
        <f>+'Detail charge d''exploit_previsl'!N73</f>
        <v>59006969.224928349</v>
      </c>
      <c r="E8" s="93">
        <f>+'Detail charge d''exploit_previsl'!N104</f>
        <v>274523515.92987543</v>
      </c>
      <c r="F8" s="93">
        <f>+'Detail charge d''exploit_previsl'!N135</f>
        <v>1277190843.5294166</v>
      </c>
      <c r="G8" s="94">
        <f t="shared" si="0"/>
        <v>1626130633.5448151</v>
      </c>
    </row>
    <row r="9" spans="1:7" ht="18.75" x14ac:dyDescent="0.3">
      <c r="A9" s="92" t="str">
        <f>+'Detail charge d''exploit_previsl'!A12</f>
        <v>Produits d'entretien</v>
      </c>
      <c r="B9" s="93">
        <f>+'Detail charge d''exploit_previsl'!N12</f>
        <v>696040.01687579334</v>
      </c>
      <c r="C9" s="93">
        <f>+'Detail charge d''exploit_previsl'!N43</f>
        <v>3238250.5858292468</v>
      </c>
      <c r="D9" s="93">
        <f>+'Detail charge d''exploit_previsl'!N74</f>
        <v>15065609.163811492</v>
      </c>
      <c r="E9" s="93">
        <f>+'Detail charge d''exploit_previsl'!N105</f>
        <v>70091110.450180933</v>
      </c>
      <c r="F9" s="93">
        <f>+'Detail charge d''exploit_previsl'!N136</f>
        <v>326091279.1989997</v>
      </c>
      <c r="G9" s="94">
        <f t="shared" si="0"/>
        <v>415182289.41569716</v>
      </c>
    </row>
    <row r="10" spans="1:7" ht="18.75" x14ac:dyDescent="0.3">
      <c r="A10" s="92" t="str">
        <f>+'Detail charge d''exploit_previsl'!A13</f>
        <v>Carburant</v>
      </c>
      <c r="B10" s="93">
        <f>+'Detail charge d''exploit_previsl'!N13</f>
        <v>2030116.7158877307</v>
      </c>
      <c r="C10" s="93">
        <f>+'Detail charge d''exploit_previsl'!N44</f>
        <v>9444897.5420019701</v>
      </c>
      <c r="D10" s="93">
        <f>+'Detail charge d''exploit_previsl'!N75</f>
        <v>43941360.061116867</v>
      </c>
      <c r="E10" s="93">
        <f>+'Detail charge d''exploit_previsl'!N106</f>
        <v>204432405.4796944</v>
      </c>
      <c r="F10" s="93">
        <f>+'Detail charge d''exploit_previsl'!N137</f>
        <v>951099564.3304162</v>
      </c>
      <c r="G10" s="94">
        <f t="shared" si="0"/>
        <v>1210948344.1291173</v>
      </c>
    </row>
    <row r="11" spans="1:7" ht="15" customHeight="1" x14ac:dyDescent="0.3">
      <c r="A11" s="177" t="str">
        <f>+'Detail charge d''exploit_previsl'!A14</f>
        <v>TOTAL ACHATS</v>
      </c>
      <c r="B11" s="96">
        <f>+'Detail charge d''exploit_previsl'!N14</f>
        <v>15660900.379705353</v>
      </c>
      <c r="C11" s="96">
        <f>+'Detail charge d''exploit_previsl'!N45</f>
        <v>72860638.181158066</v>
      </c>
      <c r="D11" s="96">
        <f>+'Detail charge d''exploit_previsl'!N76</f>
        <v>338976206.18575877</v>
      </c>
      <c r="E11" s="96">
        <f>+'Detail charge d''exploit_previsl'!N107</f>
        <v>1577049985.1290717</v>
      </c>
      <c r="F11" s="96">
        <f>+'Detail charge d''exploit_previsl'!N138</f>
        <v>7337053781.977499</v>
      </c>
      <c r="G11" s="94">
        <f t="shared" si="0"/>
        <v>9341601511.8531933</v>
      </c>
    </row>
    <row r="12" spans="1:7" ht="15.95" customHeight="1" x14ac:dyDescent="0.3">
      <c r="A12" s="445" t="str">
        <f>+'Detail charge d''exploit_previsl'!A15:M15</f>
        <v>CHARGES EXTERNES</v>
      </c>
      <c r="B12" s="446"/>
      <c r="C12" s="446"/>
      <c r="D12" s="446"/>
      <c r="E12" s="446"/>
      <c r="F12" s="446"/>
      <c r="G12" s="447"/>
    </row>
    <row r="13" spans="1:7" ht="18.75" x14ac:dyDescent="0.3">
      <c r="A13" s="92" t="str">
        <f>+'Detail charge d''exploit_previsl'!A16</f>
        <v>Loyer</v>
      </c>
      <c r="B13" s="93">
        <f>+'Detail charge d''exploit_previsl'!N16</f>
        <v>16878970.409237988</v>
      </c>
      <c r="C13" s="93">
        <f>+'Detail charge d''exploit_previsl'!N47</f>
        <v>78527576.706359237</v>
      </c>
      <c r="D13" s="93">
        <f>+'Detail charge d''exploit_previsl'!N78</f>
        <v>365341022.2224288</v>
      </c>
      <c r="E13" s="93">
        <f>+'Detail charge d''exploit_previsl'!N109</f>
        <v>1699709428.4168885</v>
      </c>
      <c r="F13" s="93">
        <f>+'Detail charge d''exploit_previsl'!N140</f>
        <v>7907713520.5757494</v>
      </c>
      <c r="G13" s="94">
        <f>SUM(B13:F13)</f>
        <v>10068170518.330664</v>
      </c>
    </row>
    <row r="14" spans="1:7" ht="18.75" x14ac:dyDescent="0.3">
      <c r="A14" s="92" t="str">
        <f>+'Detail charge d''exploit_previsl'!A17</f>
        <v>Frais de télécommunication</v>
      </c>
      <c r="B14" s="93">
        <f>+'Detail charge d''exploit_previsl'!N17</f>
        <v>3393195.0822694944</v>
      </c>
      <c r="C14" s="93">
        <f>+'Detail charge d''exploit_previsl'!N48</f>
        <v>15786471.605917592</v>
      </c>
      <c r="D14" s="93">
        <f>+'Detail charge d''exploit_previsl'!N79</f>
        <v>73444844.673581094</v>
      </c>
      <c r="E14" s="93">
        <f>+'Detail charge d''exploit_previsl'!N110</f>
        <v>341694163.44463247</v>
      </c>
      <c r="F14" s="93">
        <f>+'Detail charge d''exploit_previsl'!N141</f>
        <v>1589694986.0951262</v>
      </c>
      <c r="G14" s="94">
        <f>SUM(B14:F14)</f>
        <v>2024013660.9015269</v>
      </c>
    </row>
    <row r="15" spans="1:7" ht="18.75" x14ac:dyDescent="0.3">
      <c r="A15" s="92" t="str">
        <f>+'Detail charge d''exploit_previsl'!A18</f>
        <v>Voyages et Déplacements</v>
      </c>
      <c r="B15" s="93">
        <f>+'Detail charge d''exploit_previsl'!N18</f>
        <v>6090350.1476631928</v>
      </c>
      <c r="C15" s="93">
        <f>+'Detail charge d''exploit_previsl'!N49</f>
        <v>28334692.626005903</v>
      </c>
      <c r="D15" s="93">
        <f>+'Detail charge d''exploit_previsl'!N80</f>
        <v>131824080.18335053</v>
      </c>
      <c r="E15" s="93">
        <f>+'Detail charge d''exploit_previsl'!N111</f>
        <v>613297216.43908298</v>
      </c>
      <c r="F15" s="93">
        <f>+'Detail charge d''exploit_previsl'!N142</f>
        <v>2853298692.9912472</v>
      </c>
      <c r="G15" s="94">
        <f>SUM(B15:F15)</f>
        <v>3632845032.3873501</v>
      </c>
    </row>
    <row r="16" spans="1:7" ht="15.95" customHeight="1" x14ac:dyDescent="0.3">
      <c r="A16" s="92" t="str">
        <f>+'Detail charge d''exploit_previsl'!A19</f>
        <v>Pétits materiels et outillages</v>
      </c>
      <c r="B16" s="93">
        <f>+'Detail charge d''exploit_previsl'!N19</f>
        <v>2030116.7158877307</v>
      </c>
      <c r="C16" s="93">
        <f>+'Detail charge d''exploit_previsl'!N50</f>
        <v>9444897.5420019701</v>
      </c>
      <c r="D16" s="93">
        <f>+'Detail charge d''exploit_previsl'!N81</f>
        <v>43941360.061116867</v>
      </c>
      <c r="E16" s="93">
        <f>+'Detail charge d''exploit_previsl'!N112</f>
        <v>204432405.4796944</v>
      </c>
      <c r="F16" s="93">
        <f>+'Detail charge d''exploit_previsl'!N143</f>
        <v>951099564.3304162</v>
      </c>
      <c r="G16" s="94">
        <f>SUM(B16:F16)</f>
        <v>1210948344.1291173</v>
      </c>
    </row>
    <row r="17" spans="1:7" ht="15.95" customHeight="1" x14ac:dyDescent="0.3">
      <c r="A17" s="92" t="str">
        <f>+'Detail charge d''exploit_previsl'!A20</f>
        <v>TOTAL CHARGES EXTERNES</v>
      </c>
      <c r="B17" s="96">
        <f>+'Detail charge d''exploit_previsl'!N20</f>
        <v>28392632.355058409</v>
      </c>
      <c r="C17" s="96">
        <f>+'Detail charge d''exploit_previsl'!N51</f>
        <v>132093638.48028469</v>
      </c>
      <c r="D17" s="96">
        <f>+'Detail charge d''exploit_previsl'!N82</f>
        <v>614551307.1404773</v>
      </c>
      <c r="E17" s="96">
        <f>+'Detail charge d''exploit_previsl'!N113</f>
        <v>2859133213.7802982</v>
      </c>
      <c r="F17" s="96">
        <f>+'Detail charge d''exploit_previsl'!N144</f>
        <v>13301806763.992542</v>
      </c>
      <c r="G17" s="94">
        <f>SUM(B17:F17)</f>
        <v>16935977555.748661</v>
      </c>
    </row>
    <row r="18" spans="1:7" ht="15.95" customHeight="1" x14ac:dyDescent="0.3">
      <c r="A18" s="445" t="str">
        <f>+'Detail charge d''exploit_previsl'!A21:M21</f>
        <v>SALAIRES ET CHARGES</v>
      </c>
      <c r="B18" s="446"/>
      <c r="C18" s="446"/>
      <c r="D18" s="446"/>
      <c r="E18" s="446"/>
      <c r="F18" s="446"/>
      <c r="G18" s="447"/>
    </row>
    <row r="19" spans="1:7" ht="15" customHeight="1" x14ac:dyDescent="0.3">
      <c r="A19" s="92" t="str">
        <f>+'Detail charge d''exploit_previsl'!A22</f>
        <v>Rémunération de personnel</v>
      </c>
      <c r="B19" s="93">
        <f>+'Detail charge d''exploit_previsl'!N22</f>
        <v>57133284.71855472</v>
      </c>
      <c r="C19" s="93">
        <f>+'Detail charge d''exploit_previsl'!N53</f>
        <v>265806402.25348413</v>
      </c>
      <c r="D19" s="93">
        <f>+'Detail charge d''exploit_previsl'!N84</f>
        <v>1236635418.8628609</v>
      </c>
      <c r="E19" s="93">
        <f>+'Detail charge d''exploit_previsl'!N115</f>
        <v>5753311982.7856884</v>
      </c>
      <c r="F19" s="93">
        <f>+'Detail charge d''exploit_previsl'!N146</f>
        <v>26766659167.584576</v>
      </c>
      <c r="G19" s="94">
        <f>SUM(B19:F19)</f>
        <v>34079546256.205162</v>
      </c>
    </row>
    <row r="20" spans="1:7" ht="15.95" customHeight="1" x14ac:dyDescent="0.3">
      <c r="A20" s="92" t="str">
        <f>+'Detail charge d''exploit_previsl'!A23</f>
        <v>Transport de personnel</v>
      </c>
      <c r="B20" s="93">
        <f>+'Detail charge d''exploit_previsl'!N23</f>
        <v>2030116.7158877307</v>
      </c>
      <c r="C20" s="93">
        <f>+'Detail charge d''exploit_previsl'!N54</f>
        <v>9444897.5420019701</v>
      </c>
      <c r="D20" s="93">
        <f>+'Detail charge d''exploit_previsl'!N85</f>
        <v>43941360.061116867</v>
      </c>
      <c r="E20" s="93">
        <f>+'Detail charge d''exploit_previsl'!N116</f>
        <v>204432405.4796944</v>
      </c>
      <c r="F20" s="93">
        <f>+'Detail charge d''exploit_previsl'!N147</f>
        <v>951099564.3304162</v>
      </c>
      <c r="G20" s="94">
        <f>SUM(B20:F20)</f>
        <v>1210948344.1291173</v>
      </c>
    </row>
    <row r="21" spans="1:7" ht="15" customHeight="1" x14ac:dyDescent="0.3">
      <c r="A21" s="92" t="str">
        <f>+'Detail charge d''exploit_previsl'!A24</f>
        <v>Charges sociales</v>
      </c>
      <c r="B21" s="93">
        <f>+'Detail charge d''exploit_previsl'!N24</f>
        <v>3393195.0822694944</v>
      </c>
      <c r="C21" s="93">
        <f>+'Detail charge d''exploit_previsl'!N55</f>
        <v>15786471.605917592</v>
      </c>
      <c r="D21" s="93">
        <f>+'Detail charge d''exploit_previsl'!N86</f>
        <v>73444844.673581094</v>
      </c>
      <c r="E21" s="93">
        <f>+'Detail charge d''exploit_previsl'!N117</f>
        <v>341694163.44463247</v>
      </c>
      <c r="F21" s="93">
        <f>+'Detail charge d''exploit_previsl'!N148</f>
        <v>1589694986.0951262</v>
      </c>
      <c r="G21" s="94">
        <f>SUM(B21:F21)</f>
        <v>2024013660.9015269</v>
      </c>
    </row>
    <row r="22" spans="1:7" ht="17.100000000000001" customHeight="1" x14ac:dyDescent="0.3">
      <c r="A22" s="92" t="str">
        <f>+'Detail charge d''exploit_previsl'!A25</f>
        <v>TOTAL SALAIRES ET CHARGES</v>
      </c>
      <c r="B22" s="96">
        <f>+'Detail charge d''exploit_previsl'!N25</f>
        <v>62556596.51671195</v>
      </c>
      <c r="C22" s="96">
        <f>+'Detail charge d''exploit_previsl'!N56</f>
        <v>291037771.40140367</v>
      </c>
      <c r="D22" s="96">
        <f>+'Detail charge d''exploit_previsl'!N87</f>
        <v>1354021623.5975587</v>
      </c>
      <c r="E22" s="96">
        <f>+'Detail charge d''exploit_previsl'!N118</f>
        <v>6299438551.7100153</v>
      </c>
      <c r="F22" s="96">
        <f>+'Detail charge d''exploit_previsl'!N149</f>
        <v>29307453718.010117</v>
      </c>
      <c r="G22" s="94">
        <f>SUM(B22:F22)</f>
        <v>37314508261.235809</v>
      </c>
    </row>
    <row r="23" spans="1:7" ht="18.75" x14ac:dyDescent="0.3">
      <c r="A23" s="445" t="str">
        <f>+'Detail charge d''exploit_previsl'!A26:M26</f>
        <v>IMPOTS ET TAXES</v>
      </c>
      <c r="B23" s="446"/>
      <c r="C23" s="446"/>
      <c r="D23" s="446"/>
      <c r="E23" s="446"/>
      <c r="F23" s="446"/>
      <c r="G23" s="447"/>
    </row>
    <row r="24" spans="1:7" ht="18.75" x14ac:dyDescent="0.3">
      <c r="A24" s="178" t="str">
        <f>+'Detail charge d''exploit_previsl'!A27</f>
        <v>Taxe sur les salaires</v>
      </c>
      <c r="B24" s="93">
        <f>+'Detail charge d''exploit_previsl'!N27</f>
        <v>2726156.7327635237</v>
      </c>
      <c r="C24" s="93">
        <f>+'Detail charge d''exploit_previsl'!N58</f>
        <v>12683148.127831213</v>
      </c>
      <c r="D24" s="93">
        <f>+'Detail charge d''exploit_previsl'!N89</f>
        <v>59006969.224928349</v>
      </c>
      <c r="E24" s="93">
        <f>+'Detail charge d''exploit_previsl'!N120</f>
        <v>274523515.92987543</v>
      </c>
      <c r="F24" s="93">
        <f>+'Detail charge d''exploit_previsl'!N151</f>
        <v>1277190843.5294166</v>
      </c>
      <c r="G24" s="94">
        <f>SUM(B24:F24)</f>
        <v>1626130633.5448151</v>
      </c>
    </row>
    <row r="25" spans="1:7" ht="18.75" x14ac:dyDescent="0.3">
      <c r="A25" s="178" t="str">
        <f>+'Detail charge d''exploit_previsl'!A28</f>
        <v>Autres taxes</v>
      </c>
      <c r="B25" s="93">
        <f>+'Detail charge d''exploit_previsl'!N28</f>
        <v>2030116.7158877307</v>
      </c>
      <c r="C25" s="93">
        <f>+'Detail charge d''exploit_previsl'!N59</f>
        <v>9444897.5420019701</v>
      </c>
      <c r="D25" s="93">
        <f>+'Detail charge d''exploit_previsl'!N90</f>
        <v>43941360.061116867</v>
      </c>
      <c r="E25" s="93">
        <f>+'Detail charge d''exploit_previsl'!N121</f>
        <v>204432405.4796944</v>
      </c>
      <c r="F25" s="93">
        <f>+'Detail charge d''exploit_previsl'!N152</f>
        <v>951099564.3304162</v>
      </c>
      <c r="G25" s="94">
        <f>SUM(B25:F25)</f>
        <v>1210948344.1291173</v>
      </c>
    </row>
    <row r="26" spans="1:7" ht="18.75" x14ac:dyDescent="0.3">
      <c r="A26" s="178" t="str">
        <f>+'Detail charge d''exploit_previsl'!A29</f>
        <v>TOTAL IMPOTS ET TAXES</v>
      </c>
      <c r="B26" s="96">
        <f>+'Detail charge d''exploit_previsl'!N29</f>
        <v>4756273.4486512542</v>
      </c>
      <c r="C26" s="96">
        <f>+'Detail charge d''exploit_previsl'!N60</f>
        <v>22128045.669833183</v>
      </c>
      <c r="D26" s="96">
        <f>+'Detail charge d''exploit_previsl'!N91</f>
        <v>102948329.28604521</v>
      </c>
      <c r="E26" s="96">
        <f>+'Detail charge d''exploit_previsl'!N122</f>
        <v>478955921.40956974</v>
      </c>
      <c r="F26" s="96">
        <f>+'Detail charge d''exploit_previsl'!N153</f>
        <v>2228290407.8598328</v>
      </c>
      <c r="G26" s="94">
        <f>SUM(B26:F26)</f>
        <v>2837078977.6739321</v>
      </c>
    </row>
    <row r="27" spans="1:7" ht="18.75" x14ac:dyDescent="0.3">
      <c r="A27" s="178" t="str">
        <f>+'Detail charge d''exploit_previsl'!A30</f>
        <v>TOTAL CHARGES D'EXPLOITATIONS</v>
      </c>
      <c r="B27" s="96">
        <f>+'Detail charge d''exploit_previsl'!N30</f>
        <v>111366402.70012695</v>
      </c>
      <c r="C27" s="96">
        <f>+'Detail charge d''exploit_previsl'!N61</f>
        <v>518120093.73267955</v>
      </c>
      <c r="D27" s="96">
        <f>+'Detail charge d''exploit_previsl'!N92</f>
        <v>2410497466.2098398</v>
      </c>
      <c r="E27" s="96">
        <f>+'Detail charge d''exploit_previsl'!N123</f>
        <v>11214577672.028954</v>
      </c>
      <c r="F27" s="96">
        <f>+'Detail charge d''exploit_previsl'!N154</f>
        <v>52174604671.839989</v>
      </c>
      <c r="G27" s="97">
        <f>+G26+G22+G17+G11</f>
        <v>66429166306.511597</v>
      </c>
    </row>
  </sheetData>
  <mergeCells count="5">
    <mergeCell ref="A1:G1"/>
    <mergeCell ref="A4:G4"/>
    <mergeCell ref="A12:G12"/>
    <mergeCell ref="A18:G18"/>
    <mergeCell ref="A23:G23"/>
  </mergeCells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G19"/>
  <sheetViews>
    <sheetView showGridLines="0" workbookViewId="0">
      <selection activeCell="H10" sqref="H10"/>
    </sheetView>
  </sheetViews>
  <sheetFormatPr baseColWidth="10" defaultRowHeight="15" x14ac:dyDescent="0.25"/>
  <cols>
    <col min="1" max="1" width="30.28515625" style="536" bestFit="1" customWidth="1"/>
    <col min="2" max="2" width="14.7109375" bestFit="1" customWidth="1"/>
    <col min="3" max="3" width="16.140625" bestFit="1" customWidth="1"/>
    <col min="4" max="5" width="18.28515625" bestFit="1" customWidth="1"/>
    <col min="6" max="6" width="19.7109375" bestFit="1" customWidth="1"/>
    <col min="7" max="7" width="16.140625" bestFit="1" customWidth="1"/>
    <col min="8" max="8" width="11.42578125" customWidth="1"/>
  </cols>
  <sheetData>
    <row r="2" spans="1:7" ht="21" x14ac:dyDescent="0.35">
      <c r="A2" s="412" t="s">
        <v>222</v>
      </c>
      <c r="B2" s="412"/>
      <c r="C2" s="412"/>
      <c r="D2" s="412"/>
      <c r="E2" s="412"/>
      <c r="F2" s="412"/>
      <c r="G2" s="412"/>
    </row>
    <row r="3" spans="1:7" x14ac:dyDescent="0.25">
      <c r="B3" s="98"/>
      <c r="C3" s="98"/>
      <c r="D3" s="98"/>
      <c r="E3" s="98"/>
      <c r="F3" s="98"/>
      <c r="G3" s="98"/>
    </row>
    <row r="4" spans="1:7" x14ac:dyDescent="0.25">
      <c r="B4" s="98"/>
      <c r="C4" s="98"/>
      <c r="D4" s="98"/>
      <c r="E4" s="98"/>
      <c r="F4" s="98"/>
      <c r="G4" s="98"/>
    </row>
    <row r="5" spans="1:7" ht="30" customHeight="1" x14ac:dyDescent="0.35">
      <c r="A5" s="537" t="s">
        <v>160</v>
      </c>
      <c r="B5" s="99">
        <f>'Charg-annuel_EXPL-PREVSL'!B3</f>
        <v>2026</v>
      </c>
      <c r="C5" s="99">
        <f>'Charg-annuel_EXPL-PREVSL'!C3</f>
        <v>2027</v>
      </c>
      <c r="D5" s="99">
        <f>'Charg-annuel_EXPL-PREVSL'!D3</f>
        <v>2028</v>
      </c>
      <c r="E5" s="99">
        <f>'Charg-annuel_EXPL-PREVSL'!E3</f>
        <v>2029</v>
      </c>
      <c r="F5" s="99">
        <f>'Charg-annuel_EXPL-PREVSL'!F3</f>
        <v>2030</v>
      </c>
      <c r="G5" s="99" t="s">
        <v>221</v>
      </c>
    </row>
    <row r="6" spans="1:7" ht="21" x14ac:dyDescent="0.35">
      <c r="A6" s="448" t="s">
        <v>205</v>
      </c>
      <c r="B6" s="448"/>
      <c r="C6" s="448"/>
      <c r="D6" s="448"/>
      <c r="E6" s="448"/>
      <c r="F6" s="448"/>
      <c r="G6" s="448"/>
    </row>
    <row r="7" spans="1:7" ht="21" x14ac:dyDescent="0.35">
      <c r="A7" s="538" t="s">
        <v>206</v>
      </c>
      <c r="B7" s="93">
        <f>+CA_annuel_PREVISL!B7</f>
        <v>59250406.436551921</v>
      </c>
      <c r="C7" s="93">
        <f>+CA_annuel_PREVISL!C7</f>
        <v>275515840.01333487</v>
      </c>
      <c r="D7" s="93">
        <f>+CA_annuel_PREVISL!D7</f>
        <v>1305075031.6421125</v>
      </c>
      <c r="E7" s="93">
        <f>+CA_annuel_PREVISL!E7</f>
        <v>6090350147.6631908</v>
      </c>
      <c r="F7" s="93">
        <f>+CA_annuel_PREVISL!F7</f>
        <v>28363630687.688591</v>
      </c>
      <c r="G7" s="96">
        <f>SUM(B7:F7)</f>
        <v>36093822113.443779</v>
      </c>
    </row>
    <row r="8" spans="1:7" ht="21" x14ac:dyDescent="0.35">
      <c r="A8" s="538"/>
      <c r="B8" s="93"/>
      <c r="C8" s="93"/>
      <c r="D8" s="93"/>
      <c r="E8" s="93"/>
      <c r="F8" s="93"/>
      <c r="G8" s="96">
        <f>SUM(B8:F8)</f>
        <v>0</v>
      </c>
    </row>
    <row r="9" spans="1:7" ht="21" x14ac:dyDescent="0.35">
      <c r="A9" s="101" t="s">
        <v>205</v>
      </c>
      <c r="B9" s="96">
        <f>+B7</f>
        <v>59250406.436551921</v>
      </c>
      <c r="C9" s="96">
        <f>+C7</f>
        <v>275515840.01333487</v>
      </c>
      <c r="D9" s="96">
        <f>+D7</f>
        <v>1305075031.6421125</v>
      </c>
      <c r="E9" s="96">
        <f>+E7</f>
        <v>6090350147.6631908</v>
      </c>
      <c r="F9" s="96">
        <f>+F7</f>
        <v>28363630687.688591</v>
      </c>
      <c r="G9" s="96">
        <f>SUM(B9:F9)</f>
        <v>36093822113.443779</v>
      </c>
    </row>
    <row r="10" spans="1:7" ht="21" x14ac:dyDescent="0.35">
      <c r="A10" s="449" t="s">
        <v>207</v>
      </c>
      <c r="B10" s="449"/>
      <c r="C10" s="449"/>
      <c r="D10" s="449"/>
      <c r="E10" s="449"/>
      <c r="F10" s="449"/>
      <c r="G10" s="449"/>
    </row>
    <row r="11" spans="1:7" ht="21" x14ac:dyDescent="0.35">
      <c r="A11" s="538" t="s">
        <v>305</v>
      </c>
      <c r="B11" s="93">
        <f>+'Charg-annuel_EXPL-PREVSL'!B11</f>
        <v>15660900.379705353</v>
      </c>
      <c r="C11" s="93">
        <f>+'Charg-annuel_EXPL-PREVSL'!C11</f>
        <v>72860638.181158066</v>
      </c>
      <c r="D11" s="93">
        <f>+'Charg-annuel_EXPL-PREVSL'!D11</f>
        <v>338976206.18575877</v>
      </c>
      <c r="E11" s="93">
        <f>+'Charg-annuel_EXPL-PREVSL'!E11</f>
        <v>1577049985.1290717</v>
      </c>
      <c r="F11" s="93">
        <f>+'Charg-annuel_EXPL-PREVSL'!F11</f>
        <v>7337053781.977499</v>
      </c>
      <c r="G11" s="103">
        <f>SUM(B11:F11)</f>
        <v>9341601511.8531933</v>
      </c>
    </row>
    <row r="12" spans="1:7" ht="21" x14ac:dyDescent="0.35">
      <c r="A12" s="538" t="s">
        <v>209</v>
      </c>
      <c r="B12" s="93">
        <f>+'Charg-annuel_EXPL-PREVSL'!B17</f>
        <v>28392632.355058409</v>
      </c>
      <c r="C12" s="93">
        <f>+'Charg-annuel_EXPL-PREVSL'!C17</f>
        <v>132093638.48028469</v>
      </c>
      <c r="D12" s="93">
        <f>+'Charg-annuel_EXPL-PREVSL'!D17</f>
        <v>614551307.1404773</v>
      </c>
      <c r="E12" s="93">
        <f>+'Charg-annuel_EXPL-PREVSL'!E17</f>
        <v>2859133213.7802982</v>
      </c>
      <c r="F12" s="93">
        <f>+'Charg-annuel_EXPL-PREVSL'!F17</f>
        <v>13301806763.992542</v>
      </c>
      <c r="G12" s="103">
        <f>SUM(B12:F12)</f>
        <v>16935977555.748661</v>
      </c>
    </row>
    <row r="13" spans="1:7" ht="21" x14ac:dyDescent="0.35">
      <c r="A13" s="538" t="s">
        <v>210</v>
      </c>
      <c r="B13" s="93">
        <f>+'Charg-annuel_EXPL-PREVSL'!B22</f>
        <v>62556596.51671195</v>
      </c>
      <c r="C13" s="93">
        <f>+'Charg-annuel_EXPL-PREVSL'!C22</f>
        <v>291037771.40140367</v>
      </c>
      <c r="D13" s="93">
        <f>+'Charg-annuel_EXPL-PREVSL'!D22</f>
        <v>1354021623.5975587</v>
      </c>
      <c r="E13" s="93">
        <f>+'Charg-annuel_EXPL-PREVSL'!E22</f>
        <v>6299438551.7100153</v>
      </c>
      <c r="F13" s="93">
        <f>+'Charg-annuel_EXPL-PREVSL'!F22</f>
        <v>29307453718.010117</v>
      </c>
      <c r="G13" s="103">
        <f>SUM(B13:F13)</f>
        <v>37314508261.235809</v>
      </c>
    </row>
    <row r="14" spans="1:7" ht="21" x14ac:dyDescent="0.35">
      <c r="A14" s="538" t="s">
        <v>211</v>
      </c>
      <c r="B14" s="93">
        <f>+'Charg-annuel_EXPL-PREVSL'!B26</f>
        <v>4756273.4486512542</v>
      </c>
      <c r="C14" s="93">
        <f>+'Charg-annuel_EXPL-PREVSL'!C26</f>
        <v>22128045.669833183</v>
      </c>
      <c r="D14" s="93">
        <f>+'Charg-annuel_EXPL-PREVSL'!D26</f>
        <v>102948329.28604521</v>
      </c>
      <c r="E14" s="93">
        <f>+'Charg-annuel_EXPL-PREVSL'!E26</f>
        <v>478955921.40956974</v>
      </c>
      <c r="F14" s="93">
        <f>+'Charg-annuel_EXPL-PREVSL'!F26</f>
        <v>2228290407.8598328</v>
      </c>
      <c r="G14" s="103">
        <f>SUM(B14:F14)</f>
        <v>2837078977.6739321</v>
      </c>
    </row>
    <row r="15" spans="1:7" ht="21" x14ac:dyDescent="0.35">
      <c r="A15" s="101" t="s">
        <v>383</v>
      </c>
      <c r="B15" s="96">
        <f t="shared" ref="B15:G15" si="0">SUM(B11:B14)</f>
        <v>111366402.70012698</v>
      </c>
      <c r="C15" s="96">
        <f t="shared" si="0"/>
        <v>518120093.73267961</v>
      </c>
      <c r="D15" s="96">
        <f t="shared" si="0"/>
        <v>2410497466.2098398</v>
      </c>
      <c r="E15" s="96">
        <f t="shared" si="0"/>
        <v>11214577672.028954</v>
      </c>
      <c r="F15" s="96">
        <f t="shared" si="0"/>
        <v>52174604671.839989</v>
      </c>
      <c r="G15" s="96">
        <f t="shared" si="0"/>
        <v>66429166306.511597</v>
      </c>
    </row>
    <row r="16" spans="1:7" ht="21" x14ac:dyDescent="0.35">
      <c r="A16" s="101" t="s">
        <v>213</v>
      </c>
      <c r="B16" s="93">
        <f t="shared" ref="B16:G16" si="1">B9-B15</f>
        <v>-52115996.263575055</v>
      </c>
      <c r="C16" s="93">
        <f t="shared" si="1"/>
        <v>-242604253.71934474</v>
      </c>
      <c r="D16" s="93">
        <f t="shared" si="1"/>
        <v>-1105422434.5677273</v>
      </c>
      <c r="E16" s="93">
        <f t="shared" si="1"/>
        <v>-5124227524.3657627</v>
      </c>
      <c r="F16" s="93">
        <f t="shared" si="1"/>
        <v>-23810973984.151398</v>
      </c>
      <c r="G16" s="93">
        <f t="shared" si="1"/>
        <v>-30335344193.067818</v>
      </c>
    </row>
    <row r="17" spans="1:7" ht="21" x14ac:dyDescent="0.35">
      <c r="A17" s="101"/>
      <c r="B17" s="100"/>
      <c r="C17" s="100"/>
      <c r="D17" s="100"/>
      <c r="E17" s="100"/>
      <c r="F17" s="100"/>
      <c r="G17" s="104"/>
    </row>
    <row r="18" spans="1:7" ht="21" x14ac:dyDescent="0.35">
      <c r="A18" s="105" t="s">
        <v>214</v>
      </c>
      <c r="B18" s="106">
        <f>+B16</f>
        <v>-52115996.263575055</v>
      </c>
      <c r="C18" s="106">
        <f>+B18+C16</f>
        <v>-294720249.98291981</v>
      </c>
      <c r="D18" s="106">
        <f>+C18+D16</f>
        <v>-1400142684.5506473</v>
      </c>
      <c r="E18" s="106">
        <f>+D18+E16</f>
        <v>-6524370208.9164104</v>
      </c>
      <c r="F18" s="106">
        <f>+D18+F16</f>
        <v>-25211116668.702045</v>
      </c>
      <c r="G18" s="107"/>
    </row>
    <row r="19" spans="1:7" ht="21" x14ac:dyDescent="0.35">
      <c r="A19" s="539"/>
      <c r="B19" s="43"/>
      <c r="C19" s="43"/>
      <c r="D19" s="43"/>
      <c r="E19" s="43"/>
      <c r="F19" s="43"/>
      <c r="G19" s="43"/>
    </row>
  </sheetData>
  <mergeCells count="3">
    <mergeCell ref="A2:G2"/>
    <mergeCell ref="A6:G6"/>
    <mergeCell ref="A10:G10"/>
  </mergeCells>
  <pageMargins left="0.70000000000000007" right="0.70000000000000007" top="0.75" bottom="0.75" header="0.30000000000000004" footer="0.30000000000000004"/>
  <pageSetup paperSize="9" fitToWidth="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7:D17"/>
  <sheetViews>
    <sheetView showGridLines="0" view="pageBreakPreview" zoomScale="60" zoomScaleNormal="100" workbookViewId="0"/>
  </sheetViews>
  <sheetFormatPr baseColWidth="10" defaultRowHeight="15" x14ac:dyDescent="0.25"/>
  <cols>
    <col min="1" max="1" width="11.42578125" customWidth="1"/>
  </cols>
  <sheetData>
    <row r="17" spans="1:4" ht="26.25" x14ac:dyDescent="0.4">
      <c r="A17" s="450" t="s">
        <v>223</v>
      </c>
      <c r="B17" s="450"/>
      <c r="C17" s="450"/>
      <c r="D17" s="450"/>
    </row>
  </sheetData>
  <mergeCells count="1">
    <mergeCell ref="A17:D17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showGridLines="0" view="pageBreakPreview" zoomScale="96" zoomScaleNormal="100" zoomScaleSheetLayoutView="96" workbookViewId="0">
      <selection activeCell="F11" sqref="F11"/>
    </sheetView>
  </sheetViews>
  <sheetFormatPr baseColWidth="10" defaultRowHeight="15" x14ac:dyDescent="0.25"/>
  <cols>
    <col min="1" max="1" width="11.42578125" customWidth="1"/>
    <col min="2" max="2" width="13.7109375" customWidth="1"/>
    <col min="3" max="3" width="14.5703125" customWidth="1"/>
    <col min="4" max="4" width="11.42578125" customWidth="1"/>
    <col min="5" max="5" width="13.5703125" customWidth="1"/>
    <col min="6" max="6" width="21.85546875" customWidth="1"/>
    <col min="7" max="7" width="11.42578125" customWidth="1"/>
  </cols>
  <sheetData>
    <row r="2" spans="1:6" ht="177" customHeight="1" x14ac:dyDescent="0.25"/>
    <row r="3" spans="1:6" ht="28.5" x14ac:dyDescent="0.45">
      <c r="B3" s="451" t="s">
        <v>224</v>
      </c>
      <c r="C3" s="451"/>
      <c r="D3" s="451"/>
      <c r="E3" s="451"/>
    </row>
    <row r="5" spans="1:6" ht="18.75" x14ac:dyDescent="0.3">
      <c r="A5" s="452" t="s">
        <v>225</v>
      </c>
      <c r="B5" s="452"/>
      <c r="C5" s="452"/>
      <c r="D5" s="452"/>
      <c r="E5" s="452"/>
      <c r="F5" s="108">
        <f>'Compte-annuel_EXPL-PREVSL'!G7</f>
        <v>36093822113.443779</v>
      </c>
    </row>
    <row r="6" spans="1:6" ht="18.75" x14ac:dyDescent="0.3">
      <c r="A6" s="452" t="s">
        <v>226</v>
      </c>
      <c r="B6" s="452"/>
      <c r="C6" s="452"/>
      <c r="D6" s="452"/>
      <c r="E6" s="452"/>
      <c r="F6" s="108">
        <f>+BASE_INFORMATION!C9/12</f>
        <v>2</v>
      </c>
    </row>
    <row r="7" spans="1:6" ht="18.75" x14ac:dyDescent="0.3">
      <c r="A7" s="452" t="s">
        <v>227</v>
      </c>
      <c r="B7" s="452"/>
      <c r="C7" s="452"/>
      <c r="D7" s="452"/>
      <c r="E7" s="452"/>
      <c r="F7" s="108">
        <f>F5/F6</f>
        <v>18046911056.721889</v>
      </c>
    </row>
    <row r="8" spans="1:6" ht="18.75" x14ac:dyDescent="0.3">
      <c r="A8" s="452" t="s">
        <v>228</v>
      </c>
      <c r="B8" s="452"/>
      <c r="C8" s="452"/>
      <c r="D8" s="452"/>
      <c r="E8" s="452"/>
      <c r="F8" s="108">
        <f>+F7</f>
        <v>18046911056.721889</v>
      </c>
    </row>
    <row r="9" spans="1:6" ht="18.75" x14ac:dyDescent="0.3">
      <c r="A9" s="452" t="s">
        <v>229</v>
      </c>
      <c r="B9" s="452"/>
      <c r="C9" s="452"/>
      <c r="D9" s="452"/>
      <c r="E9" s="452"/>
      <c r="F9" s="108">
        <f>+'TABl-Amort-Annuel-Emprt'!E11</f>
        <v>24083333.333333332</v>
      </c>
    </row>
    <row r="11" spans="1:6" ht="23.25" x14ac:dyDescent="0.35">
      <c r="A11" s="109"/>
      <c r="B11" s="110" t="s">
        <v>230</v>
      </c>
      <c r="C11" s="109"/>
      <c r="D11" s="109"/>
      <c r="E11" s="109"/>
      <c r="F11" s="109"/>
    </row>
    <row r="12" spans="1:6" x14ac:dyDescent="0.25">
      <c r="A12" s="109"/>
      <c r="B12" s="109"/>
      <c r="C12" s="109"/>
      <c r="D12" s="109"/>
      <c r="E12" s="109"/>
      <c r="F12" s="109"/>
    </row>
    <row r="13" spans="1:6" ht="18.75" x14ac:dyDescent="0.3">
      <c r="A13" s="111" t="s">
        <v>231</v>
      </c>
      <c r="B13" s="111"/>
      <c r="C13" s="111"/>
      <c r="D13" s="111"/>
      <c r="E13" s="111"/>
      <c r="F13" s="109"/>
    </row>
    <row r="14" spans="1:6" ht="18.75" x14ac:dyDescent="0.3">
      <c r="A14" s="111" t="s">
        <v>232</v>
      </c>
      <c r="B14" s="111"/>
      <c r="C14" s="111"/>
      <c r="D14" s="111"/>
      <c r="E14" s="111"/>
      <c r="F14" s="109"/>
    </row>
    <row r="15" spans="1:6" ht="18.75" x14ac:dyDescent="0.3">
      <c r="A15" s="111" t="s">
        <v>233</v>
      </c>
      <c r="B15" s="111"/>
      <c r="C15" s="111"/>
      <c r="D15" s="111"/>
      <c r="E15" s="111"/>
      <c r="F15" s="109"/>
    </row>
    <row r="16" spans="1:6" ht="18.75" x14ac:dyDescent="0.3">
      <c r="A16" s="111" t="s">
        <v>234</v>
      </c>
      <c r="B16" s="111"/>
      <c r="C16" s="111"/>
      <c r="D16" s="111"/>
      <c r="E16" s="111"/>
      <c r="F16" s="109"/>
    </row>
  </sheetData>
  <mergeCells count="6">
    <mergeCell ref="A9:E9"/>
    <mergeCell ref="B3:E3"/>
    <mergeCell ref="A5:E5"/>
    <mergeCell ref="A6:E6"/>
    <mergeCell ref="A7:E7"/>
    <mergeCell ref="A8:E8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7:E18"/>
  <sheetViews>
    <sheetView showGridLines="0" view="pageBreakPreview" zoomScale="106" zoomScaleNormal="100" zoomScaleSheetLayoutView="106" workbookViewId="0">
      <selection activeCell="P24" sqref="P24"/>
    </sheetView>
  </sheetViews>
  <sheetFormatPr baseColWidth="10" defaultRowHeight="15" x14ac:dyDescent="0.25"/>
  <cols>
    <col min="1" max="1" width="11.42578125" customWidth="1"/>
  </cols>
  <sheetData>
    <row r="17" spans="1:5" x14ac:dyDescent="0.25">
      <c r="A17" s="453" t="s">
        <v>248</v>
      </c>
      <c r="B17" s="453"/>
      <c r="C17" s="453"/>
      <c r="D17" s="453"/>
      <c r="E17" s="453"/>
    </row>
    <row r="18" spans="1:5" x14ac:dyDescent="0.25">
      <c r="A18" s="453"/>
      <c r="B18" s="453"/>
      <c r="C18" s="453"/>
      <c r="D18" s="453"/>
      <c r="E18" s="453"/>
    </row>
  </sheetData>
  <mergeCells count="1">
    <mergeCell ref="A17:E18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09"/>
  <sheetViews>
    <sheetView showGridLines="0" zoomScaleNormal="100" workbookViewId="0">
      <selection activeCell="C21" sqref="C21"/>
    </sheetView>
  </sheetViews>
  <sheetFormatPr baseColWidth="10" defaultRowHeight="15" x14ac:dyDescent="0.25"/>
  <cols>
    <col min="1" max="1" width="35.85546875" bestFit="1" customWidth="1"/>
    <col min="2" max="2" width="15.28515625" bestFit="1" customWidth="1"/>
    <col min="3" max="6" width="14.85546875" bestFit="1" customWidth="1"/>
    <col min="7" max="7" width="18.28515625" bestFit="1" customWidth="1"/>
    <col min="8" max="13" width="19.7109375" bestFit="1" customWidth="1"/>
    <col min="14" max="14" width="16.140625" bestFit="1" customWidth="1"/>
    <col min="15" max="15" width="12.42578125" bestFit="1" customWidth="1"/>
  </cols>
  <sheetData>
    <row r="1" spans="1:15" ht="21" x14ac:dyDescent="0.35">
      <c r="A1" s="412" t="s">
        <v>249</v>
      </c>
      <c r="B1" s="412"/>
      <c r="C1" s="412"/>
      <c r="D1" s="412"/>
      <c r="E1" s="412"/>
      <c r="F1" s="412"/>
      <c r="G1" s="412"/>
      <c r="H1" s="412"/>
    </row>
    <row r="2" spans="1:15" ht="18.75" x14ac:dyDescent="0.3">
      <c r="A2" s="98"/>
      <c r="B2" s="98"/>
      <c r="C2" s="98"/>
      <c r="D2" s="98"/>
      <c r="E2" s="98"/>
      <c r="F2" s="98"/>
      <c r="G2" s="98"/>
      <c r="H2" s="88" t="s">
        <v>250</v>
      </c>
      <c r="I2" s="86">
        <f>+BASE_INFORMATION!A14</f>
        <v>2026</v>
      </c>
    </row>
    <row r="3" spans="1:15" ht="5.0999999999999996" customHeight="1" x14ac:dyDescent="0.25">
      <c r="A3" s="98"/>
      <c r="B3" s="98"/>
      <c r="C3" s="98"/>
      <c r="D3" s="98"/>
      <c r="E3" s="98"/>
      <c r="F3" s="98"/>
      <c r="G3" s="98"/>
      <c r="H3" s="98"/>
    </row>
    <row r="4" spans="1:15" s="41" customFormat="1" ht="24" customHeight="1" x14ac:dyDescent="0.25">
      <c r="A4" s="6"/>
      <c r="B4" s="6">
        <v>0</v>
      </c>
      <c r="C4" s="6" t="s">
        <v>161</v>
      </c>
      <c r="D4" s="6" t="s">
        <v>162</v>
      </c>
      <c r="E4" s="6" t="s">
        <v>163</v>
      </c>
      <c r="F4" s="6" t="s">
        <v>178</v>
      </c>
      <c r="G4" s="6" t="s">
        <v>165</v>
      </c>
      <c r="H4" s="6" t="s">
        <v>166</v>
      </c>
      <c r="I4" s="6" t="s">
        <v>169</v>
      </c>
      <c r="J4" s="6" t="s">
        <v>170</v>
      </c>
      <c r="K4" s="6" t="s">
        <v>171</v>
      </c>
      <c r="L4" s="6" t="s">
        <v>172</v>
      </c>
      <c r="M4" s="6" t="s">
        <v>173</v>
      </c>
      <c r="N4" s="6" t="s">
        <v>174</v>
      </c>
      <c r="O4" s="6" t="s">
        <v>24</v>
      </c>
    </row>
    <row r="5" spans="1:15" ht="21" x14ac:dyDescent="0.35">
      <c r="A5" s="158" t="s">
        <v>236</v>
      </c>
      <c r="B5" s="158"/>
      <c r="C5" s="99"/>
      <c r="D5" s="99"/>
      <c r="E5" s="99"/>
      <c r="F5" s="99"/>
      <c r="G5" s="99"/>
      <c r="H5" s="99"/>
      <c r="I5" s="6"/>
      <c r="J5" s="6"/>
      <c r="K5" s="6"/>
      <c r="L5" s="6"/>
      <c r="M5" s="6"/>
      <c r="N5" s="6"/>
      <c r="O5" s="6"/>
    </row>
    <row r="6" spans="1:15" ht="21" x14ac:dyDescent="0.35">
      <c r="A6" s="454" t="s">
        <v>205</v>
      </c>
      <c r="B6" s="454"/>
      <c r="C6" s="454"/>
      <c r="D6" s="454"/>
      <c r="E6" s="454"/>
      <c r="F6" s="454"/>
      <c r="G6" s="454"/>
      <c r="H6" s="454"/>
      <c r="I6" s="279"/>
      <c r="J6" s="279"/>
      <c r="K6" s="279"/>
      <c r="L6" s="279"/>
      <c r="M6" s="279"/>
      <c r="N6" s="279"/>
      <c r="O6" s="279"/>
    </row>
    <row r="7" spans="1:15" ht="17.100000000000001" customHeight="1" x14ac:dyDescent="0.3">
      <c r="A7" s="92" t="s">
        <v>206</v>
      </c>
      <c r="B7" s="60"/>
      <c r="C7" s="93">
        <f>+'Detail_Chiffr d''affair-Previsl'!B11</f>
        <v>3656000</v>
      </c>
      <c r="D7" s="93">
        <f>+'Detail_Chiffr d''affair-Previsl'!C11</f>
        <v>4204400</v>
      </c>
      <c r="E7" s="93">
        <f>+'Detail_Chiffr d''affair-Previsl'!D11</f>
        <v>4835060</v>
      </c>
      <c r="F7" s="93">
        <f>+'Detail_Chiffr d''affair-Previsl'!E11</f>
        <v>5560318.9999999991</v>
      </c>
      <c r="G7" s="93">
        <f>+'Detail_Chiffr d''affair-Previsl'!F11</f>
        <v>6394366.8499999987</v>
      </c>
      <c r="H7" s="93">
        <f>+'Detail_Chiffr d''affair-Previsl'!G11</f>
        <v>7353521.8774999976</v>
      </c>
      <c r="I7" s="93">
        <f>+'Detail_Chiffr d''affair-Previsl'!H11</f>
        <v>8456550.1591249965</v>
      </c>
      <c r="J7" s="93">
        <f>+'Detail_Chiffr d''affair-Previsl'!I11</f>
        <v>9725032.6829937454</v>
      </c>
      <c r="K7" s="93">
        <f>+'Detail_Chiffr d''affair-Previsl'!J11</f>
        <v>11183787.585442808</v>
      </c>
      <c r="L7" s="93">
        <f>+'Detail_Chiffr d''affair-Previsl'!K11</f>
        <v>12861355.723259225</v>
      </c>
      <c r="M7" s="93">
        <f>+'Detail_Chiffr d''affair-Previsl'!L11</f>
        <v>14790559.081748109</v>
      </c>
      <c r="N7" s="93">
        <f>+'Detail_Chiffr d''affair-Previsl'!M11</f>
        <v>17009142.944010325</v>
      </c>
      <c r="O7" s="27">
        <f>SUM(B7:N7)</f>
        <v>106030095.9040792</v>
      </c>
    </row>
    <row r="8" spans="1:15" ht="18" customHeight="1" x14ac:dyDescent="0.3">
      <c r="A8" s="92" t="s">
        <v>237</v>
      </c>
      <c r="B8" s="96">
        <f>+BASE_INFORMATION!C7</f>
        <v>10000000</v>
      </c>
      <c r="D8" s="93"/>
      <c r="E8" s="93"/>
      <c r="F8" s="93"/>
      <c r="G8" s="93"/>
      <c r="H8" s="93"/>
      <c r="I8" s="27"/>
      <c r="J8" s="28"/>
      <c r="K8" s="28"/>
      <c r="L8" s="28"/>
      <c r="M8" s="28"/>
      <c r="N8" s="28"/>
      <c r="O8" s="27"/>
    </row>
    <row r="9" spans="1:15" ht="18" customHeight="1" x14ac:dyDescent="0.35">
      <c r="A9" s="101" t="s">
        <v>251</v>
      </c>
      <c r="B9" s="18">
        <f>+B8</f>
        <v>10000000</v>
      </c>
      <c r="C9" s="96">
        <f>+C7+B8</f>
        <v>13656000</v>
      </c>
      <c r="D9" s="96">
        <f>+D7</f>
        <v>4204400</v>
      </c>
      <c r="E9" s="96">
        <f>+E7</f>
        <v>4835060</v>
      </c>
      <c r="F9" s="96">
        <f t="shared" ref="F9:N9" si="0">F7</f>
        <v>5560318.9999999991</v>
      </c>
      <c r="G9" s="96">
        <f t="shared" si="0"/>
        <v>6394366.8499999987</v>
      </c>
      <c r="H9" s="96">
        <f t="shared" si="0"/>
        <v>7353521.8774999976</v>
      </c>
      <c r="I9" s="96">
        <f t="shared" si="0"/>
        <v>8456550.1591249965</v>
      </c>
      <c r="J9" s="96">
        <f t="shared" si="0"/>
        <v>9725032.6829937454</v>
      </c>
      <c r="K9" s="96">
        <f t="shared" si="0"/>
        <v>11183787.585442808</v>
      </c>
      <c r="L9" s="96">
        <f t="shared" si="0"/>
        <v>12861355.723259225</v>
      </c>
      <c r="M9" s="96">
        <f t="shared" si="0"/>
        <v>14790559.081748109</v>
      </c>
      <c r="N9" s="96">
        <f t="shared" si="0"/>
        <v>17009142.944010325</v>
      </c>
      <c r="O9" s="27">
        <f>SUM(B9:N9)</f>
        <v>126030095.9040792</v>
      </c>
    </row>
    <row r="10" spans="1:15" ht="21" x14ac:dyDescent="0.35">
      <c r="A10" s="455" t="s">
        <v>207</v>
      </c>
      <c r="B10" s="455"/>
      <c r="C10" s="455"/>
      <c r="D10" s="455"/>
      <c r="E10" s="455"/>
      <c r="F10" s="455"/>
      <c r="G10" s="455"/>
      <c r="H10" s="455"/>
      <c r="I10" s="280"/>
      <c r="J10" s="280"/>
      <c r="K10" s="280"/>
      <c r="L10" s="280"/>
      <c r="M10" s="280"/>
      <c r="N10" s="280"/>
      <c r="O10" s="280"/>
    </row>
    <row r="11" spans="1:15" ht="18.75" x14ac:dyDescent="0.3">
      <c r="A11" s="92" t="s">
        <v>208</v>
      </c>
      <c r="B11" s="456"/>
      <c r="C11" s="93">
        <f>+'Detail charge d''exploit_previsl'!B14</f>
        <v>540000</v>
      </c>
      <c r="D11" s="93">
        <f>+'Detail charge d''exploit_previsl'!C14</f>
        <v>621000</v>
      </c>
      <c r="E11" s="93">
        <f>+'Detail charge d''exploit_previsl'!D14</f>
        <v>714150</v>
      </c>
      <c r="F11" s="93">
        <f>+'Detail charge d''exploit_previsl'!E14</f>
        <v>821272.5</v>
      </c>
      <c r="G11" s="93">
        <f>+'Detail charge d''exploit_previsl'!F14</f>
        <v>944463.37499999977</v>
      </c>
      <c r="H11" s="93">
        <f>+'Detail charge d''exploit_previsl'!G14</f>
        <v>1086132.8812499996</v>
      </c>
      <c r="I11" s="93">
        <f>+'Detail charge d''exploit_previsl'!H14</f>
        <v>1249052.8134374996</v>
      </c>
      <c r="J11" s="93">
        <f>+'Detail charge d''exploit_previsl'!I14</f>
        <v>1436410.7354531239</v>
      </c>
      <c r="K11" s="93">
        <f>+'Detail charge d''exploit_previsl'!J14</f>
        <v>1651872.3457710929</v>
      </c>
      <c r="L11" s="93">
        <f>+'Detail charge d''exploit_previsl'!K14</f>
        <v>1899653.1976367566</v>
      </c>
      <c r="M11" s="93">
        <f>+'Detail charge d''exploit_previsl'!L14</f>
        <v>2184601.17728227</v>
      </c>
      <c r="N11" s="93">
        <f>+'Detail charge d''exploit_previsl'!M14</f>
        <v>2512291.3538746103</v>
      </c>
      <c r="O11" s="68">
        <f>SUM(B11:N11)</f>
        <v>15660900.379705353</v>
      </c>
    </row>
    <row r="12" spans="1:15" ht="18.75" x14ac:dyDescent="0.3">
      <c r="A12" s="92" t="s">
        <v>209</v>
      </c>
      <c r="B12" s="457"/>
      <c r="C12" s="93">
        <f>+'Detail charge d''exploit_previsl'!B20</f>
        <v>979000</v>
      </c>
      <c r="D12" s="93">
        <f>+'Detail charge d''exploit_previsl'!C20</f>
        <v>1125850</v>
      </c>
      <c r="E12" s="93">
        <f>+'Detail charge d''exploit_previsl'!D20</f>
        <v>1294727.4999999998</v>
      </c>
      <c r="F12" s="93">
        <f>+'Detail charge d''exploit_previsl'!E20</f>
        <v>1488936.6249999995</v>
      </c>
      <c r="G12" s="93">
        <f>+'Detail charge d''exploit_previsl'!F20</f>
        <v>1712277.1187499994</v>
      </c>
      <c r="H12" s="93">
        <f>+'Detail charge d''exploit_previsl'!G20</f>
        <v>1969118.6865624993</v>
      </c>
      <c r="I12" s="93">
        <f>+'Detail charge d''exploit_previsl'!H20</f>
        <v>2264486.4895468741</v>
      </c>
      <c r="J12" s="93">
        <f>+'Detail charge d''exploit_previsl'!I20</f>
        <v>2604159.4629789051</v>
      </c>
      <c r="K12" s="93">
        <f>+'Detail charge d''exploit_previsl'!J20</f>
        <v>2994783.3824257399</v>
      </c>
      <c r="L12" s="93">
        <f>+'Detail charge d''exploit_previsl'!K20</f>
        <v>3444000.8897896009</v>
      </c>
      <c r="M12" s="93">
        <f>+'Detail charge d''exploit_previsl'!L20</f>
        <v>3960601.0232580407</v>
      </c>
      <c r="N12" s="93">
        <f>+'Detail charge d''exploit_previsl'!M20</f>
        <v>4554691.1767467465</v>
      </c>
      <c r="O12" s="68">
        <f>SUM(B12:N12)</f>
        <v>28392632.355058409</v>
      </c>
    </row>
    <row r="13" spans="1:15" ht="18.75" x14ac:dyDescent="0.3">
      <c r="A13" s="92" t="s">
        <v>210</v>
      </c>
      <c r="B13" s="457"/>
      <c r="C13" s="93">
        <f>+'Detail charge d''exploit_previsl'!B25</f>
        <v>2157000</v>
      </c>
      <c r="D13" s="93">
        <f>+'Detail charge d''exploit_previsl'!C25</f>
        <v>2480550</v>
      </c>
      <c r="E13" s="93">
        <f>+'Detail charge d''exploit_previsl'!D25</f>
        <v>2852632.5</v>
      </c>
      <c r="F13" s="93">
        <f>+'Detail charge d''exploit_previsl'!E25</f>
        <v>3280527.375</v>
      </c>
      <c r="G13" s="93">
        <f>+'Detail charge d''exploit_previsl'!F25</f>
        <v>3772606.4812499997</v>
      </c>
      <c r="H13" s="93">
        <f>+'Detail charge d''exploit_previsl'!G25</f>
        <v>4338497.4534374988</v>
      </c>
      <c r="I13" s="93">
        <f>+'Detail charge d''exploit_previsl'!H25</f>
        <v>4989272.0714531243</v>
      </c>
      <c r="J13" s="93">
        <f>+'Detail charge d''exploit_previsl'!I25</f>
        <v>5737662.8821710916</v>
      </c>
      <c r="K13" s="93">
        <f>+'Detail charge d''exploit_previsl'!J25</f>
        <v>6598312.3144967547</v>
      </c>
      <c r="L13" s="93">
        <f>+'Detail charge d''exploit_previsl'!K25</f>
        <v>7588059.1616712688</v>
      </c>
      <c r="M13" s="93">
        <f>+'Detail charge d''exploit_previsl'!L25</f>
        <v>8726268.0359219573</v>
      </c>
      <c r="N13" s="93">
        <f>+'Detail charge d''exploit_previsl'!M25</f>
        <v>10035208.24131025</v>
      </c>
      <c r="O13" s="68">
        <f>SUM(B13:N13)</f>
        <v>62556596.51671195</v>
      </c>
    </row>
    <row r="14" spans="1:15" ht="15" customHeight="1" x14ac:dyDescent="0.3">
      <c r="A14" s="92" t="s">
        <v>211</v>
      </c>
      <c r="B14" s="457"/>
      <c r="C14" s="93"/>
      <c r="D14" s="93"/>
      <c r="E14" s="93"/>
      <c r="F14" s="93"/>
      <c r="G14" s="93"/>
      <c r="H14" s="93"/>
      <c r="I14" s="28"/>
      <c r="J14" s="28"/>
      <c r="K14" s="28"/>
      <c r="L14" s="28"/>
      <c r="M14" s="28"/>
      <c r="N14" s="28"/>
      <c r="O14" s="68">
        <f>SUM(B14:N14)</f>
        <v>0</v>
      </c>
    </row>
    <row r="15" spans="1:15" ht="18.75" x14ac:dyDescent="0.3">
      <c r="A15" s="92" t="s">
        <v>239</v>
      </c>
      <c r="B15" s="458"/>
      <c r="C15" s="93">
        <f>+'TABL-AMORT-EMPR_-5ans'!E5</f>
        <v>66666.666666666672</v>
      </c>
      <c r="D15" s="93">
        <f>+'TABL-AMORT-EMPR_-5ans'!E6</f>
        <v>63888.888888888898</v>
      </c>
      <c r="E15" s="93">
        <f>+'TABL-AMORT-EMPR_-5ans'!E7</f>
        <v>61111.111111111124</v>
      </c>
      <c r="F15" s="93">
        <f>+'TABL-AMORT-EMPR_-5ans'!E8</f>
        <v>58333.333333333343</v>
      </c>
      <c r="G15" s="93">
        <f>+'TABL-AMORT-EMPR_-5ans'!E9</f>
        <v>55555.555555555569</v>
      </c>
      <c r="H15" s="93">
        <f>+'TABL-AMORT-EMPR_-5ans'!E10</f>
        <v>52777.777777777788</v>
      </c>
      <c r="I15" s="93">
        <f>+'TABL-AMORT-EMPR_-5ans'!E11</f>
        <v>50000.000000000007</v>
      </c>
      <c r="J15" s="93">
        <f>+'TABL-AMORT-EMPR_-5ans'!E12</f>
        <v>47222.222222222226</v>
      </c>
      <c r="K15" s="93">
        <f>+'TABL-AMORT-EMPR_-5ans'!E13</f>
        <v>44444.444444444445</v>
      </c>
      <c r="L15" s="93">
        <f>+'TABL-AMORT-EMPR_-5ans'!E14</f>
        <v>41666.666666666664</v>
      </c>
      <c r="M15" s="93">
        <f>+'TABL-AMORT-EMPR_-5ans'!E15</f>
        <v>38888.888888888883</v>
      </c>
      <c r="N15" s="93">
        <f>+'TABL-AMORT-EMPR_-5ans'!E16</f>
        <v>36111.111111111109</v>
      </c>
      <c r="O15" s="68">
        <f>SUM(B15:N15)</f>
        <v>616666.66666666674</v>
      </c>
    </row>
    <row r="16" spans="1:15" ht="21" x14ac:dyDescent="0.35">
      <c r="A16" s="115" t="s">
        <v>240</v>
      </c>
      <c r="B16" s="119"/>
      <c r="C16" s="116"/>
      <c r="D16" s="116"/>
      <c r="E16" s="116"/>
      <c r="F16" s="116"/>
      <c r="G16" s="116"/>
      <c r="H16" s="116"/>
      <c r="I16" s="120"/>
      <c r="J16" s="120"/>
      <c r="K16" s="120"/>
      <c r="L16" s="120"/>
      <c r="M16" s="120"/>
      <c r="N16" s="120"/>
      <c r="O16" s="120"/>
    </row>
    <row r="17" spans="1:15" ht="18.75" x14ac:dyDescent="0.3">
      <c r="A17" s="281" t="s">
        <v>241</v>
      </c>
      <c r="B17" s="92"/>
      <c r="C17" s="93">
        <f>+'TABL-AMORT-EMPR_-5ans'!D5</f>
        <v>416666.66666666669</v>
      </c>
      <c r="D17" s="93">
        <f>+'TABL-AMORT-EMPR_-5ans'!D6</f>
        <v>416666.66666666669</v>
      </c>
      <c r="E17" s="93">
        <f>+'TABL-AMORT-EMPR_-5ans'!D7</f>
        <v>416666.66666666669</v>
      </c>
      <c r="F17" s="93">
        <f>+'TABL-AMORT-EMPR_-5ans'!D8</f>
        <v>416666.66666666669</v>
      </c>
      <c r="G17" s="93">
        <f>+'TABL-AMORT-EMPR_-5ans'!D9</f>
        <v>416666.66666666669</v>
      </c>
      <c r="H17" s="93">
        <f>+'TABL-AMORT-EMPR_-5ans'!D10</f>
        <v>416666.66666666669</v>
      </c>
      <c r="I17" s="28">
        <f>+'TABL-AMORT-EMPR_-5ans'!D11</f>
        <v>416666.66666666669</v>
      </c>
      <c r="J17" s="28">
        <f>+'TABL-AMORT-EMPR_-5ans'!D12</f>
        <v>416666.66666666669</v>
      </c>
      <c r="K17" s="28">
        <f>+'TABL-AMORT-EMPR_-5ans'!D13</f>
        <v>416666.66666666669</v>
      </c>
      <c r="L17" s="28">
        <f>+'TABL-AMORT-EMPR_-5ans'!D14</f>
        <v>416666.66666666669</v>
      </c>
      <c r="M17" s="28">
        <f>+'TABL-AMORT-EMPR_-5ans'!D15</f>
        <v>416666.66666666669</v>
      </c>
      <c r="N17" s="28">
        <f>+'TABL-AMORT-EMPR_-5ans'!D16</f>
        <v>416666.66666666669</v>
      </c>
      <c r="O17" s="27">
        <f>SUM(B17:N17)</f>
        <v>5000000</v>
      </c>
    </row>
    <row r="18" spans="1:15" ht="18.75" x14ac:dyDescent="0.3">
      <c r="A18" s="92" t="s">
        <v>242</v>
      </c>
      <c r="B18" s="60">
        <f>+'Cout total Projet'!J38</f>
        <v>4500000</v>
      </c>
      <c r="C18" s="96"/>
      <c r="D18" s="93"/>
      <c r="E18" s="93"/>
      <c r="F18" s="93"/>
      <c r="G18" s="93"/>
      <c r="H18" s="93"/>
      <c r="I18" s="27"/>
      <c r="J18" s="28"/>
      <c r="K18" s="28"/>
      <c r="L18" s="28"/>
      <c r="M18" s="28"/>
      <c r="N18" s="28"/>
      <c r="O18" s="27">
        <f>SUM(B18:N18)</f>
        <v>4500000</v>
      </c>
    </row>
    <row r="19" spans="1:15" ht="18.75" x14ac:dyDescent="0.3">
      <c r="A19" s="95" t="s">
        <v>212</v>
      </c>
      <c r="B19" s="61"/>
      <c r="C19" s="96">
        <f t="shared" ref="C19:N19" si="1">SUM(C11:C18)</f>
        <v>4159333.333333333</v>
      </c>
      <c r="D19" s="96">
        <f t="shared" si="1"/>
        <v>4707955.555555556</v>
      </c>
      <c r="E19" s="96">
        <f t="shared" si="1"/>
        <v>5339287.777777778</v>
      </c>
      <c r="F19" s="96">
        <f t="shared" si="1"/>
        <v>6065736.5</v>
      </c>
      <c r="G19" s="96">
        <f t="shared" si="1"/>
        <v>6901569.1972222226</v>
      </c>
      <c r="H19" s="96">
        <f t="shared" si="1"/>
        <v>7863193.4656944424</v>
      </c>
      <c r="I19" s="27">
        <f t="shared" si="1"/>
        <v>8969478.041104164</v>
      </c>
      <c r="J19" s="27">
        <f t="shared" si="1"/>
        <v>10242121.969492009</v>
      </c>
      <c r="K19" s="27">
        <f t="shared" si="1"/>
        <v>11706079.153804699</v>
      </c>
      <c r="L19" s="27">
        <f t="shared" si="1"/>
        <v>13390046.582430959</v>
      </c>
      <c r="M19" s="27">
        <f t="shared" si="1"/>
        <v>15327025.792017823</v>
      </c>
      <c r="N19" s="27">
        <f t="shared" si="1"/>
        <v>17554968.549709387</v>
      </c>
      <c r="O19" s="27">
        <f>SUM(B19:N19)</f>
        <v>112226795.91814238</v>
      </c>
    </row>
    <row r="20" spans="1:15" ht="18" customHeight="1" x14ac:dyDescent="0.35">
      <c r="A20" s="101" t="s">
        <v>236</v>
      </c>
      <c r="B20" s="18">
        <f>+'Cout total Projet'!J36</f>
        <v>375000</v>
      </c>
      <c r="C20" s="93">
        <f t="shared" ref="C20:N20" si="2">C9-C19</f>
        <v>9496666.6666666679</v>
      </c>
      <c r="D20" s="93">
        <f t="shared" si="2"/>
        <v>-503555.55555555597</v>
      </c>
      <c r="E20" s="93">
        <f t="shared" si="2"/>
        <v>-504227.77777777798</v>
      </c>
      <c r="F20" s="93">
        <f t="shared" si="2"/>
        <v>-505417.50000000093</v>
      </c>
      <c r="G20" s="93">
        <f t="shared" si="2"/>
        <v>-507202.34722222388</v>
      </c>
      <c r="H20" s="93">
        <f t="shared" si="2"/>
        <v>-509671.58819444478</v>
      </c>
      <c r="I20" s="28">
        <f t="shared" si="2"/>
        <v>-512927.88197916746</v>
      </c>
      <c r="J20" s="28">
        <f t="shared" si="2"/>
        <v>-517089.28649826348</v>
      </c>
      <c r="K20" s="28">
        <f t="shared" si="2"/>
        <v>-522291.56836189143</v>
      </c>
      <c r="L20" s="28">
        <f t="shared" si="2"/>
        <v>-528690.85917173326</v>
      </c>
      <c r="M20" s="28">
        <f t="shared" si="2"/>
        <v>-536466.71026971377</v>
      </c>
      <c r="N20" s="28">
        <f t="shared" si="2"/>
        <v>-545825.60569906235</v>
      </c>
      <c r="O20" s="27">
        <f>SUM(B20:N20)</f>
        <v>4178299.9859368326</v>
      </c>
    </row>
    <row r="21" spans="1:15" ht="18" customHeight="1" x14ac:dyDescent="0.35">
      <c r="A21" s="115" t="s">
        <v>243</v>
      </c>
      <c r="B21" s="176">
        <f>+B20</f>
        <v>375000</v>
      </c>
      <c r="C21" s="117">
        <f>B21+C20</f>
        <v>9871666.6666666679</v>
      </c>
      <c r="D21" s="117">
        <f>C21+D20</f>
        <v>9368111.1111111119</v>
      </c>
      <c r="E21" s="117">
        <f>D21+E20</f>
        <v>8863883.333333334</v>
      </c>
      <c r="F21" s="117">
        <f t="shared" ref="F21:N21" si="3">+E21+F20</f>
        <v>8358465.833333333</v>
      </c>
      <c r="G21" s="117">
        <f t="shared" si="3"/>
        <v>7851263.4861111091</v>
      </c>
      <c r="H21" s="117">
        <f t="shared" si="3"/>
        <v>7341591.8979166644</v>
      </c>
      <c r="I21" s="117">
        <f t="shared" si="3"/>
        <v>6828664.0159374969</v>
      </c>
      <c r="J21" s="117">
        <f t="shared" si="3"/>
        <v>6311574.7294392334</v>
      </c>
      <c r="K21" s="117">
        <f t="shared" si="3"/>
        <v>5789283.161077342</v>
      </c>
      <c r="L21" s="117">
        <f t="shared" si="3"/>
        <v>5260592.3019056087</v>
      </c>
      <c r="M21" s="117">
        <f t="shared" si="3"/>
        <v>4724125.591635895</v>
      </c>
      <c r="N21" s="117">
        <f t="shared" si="3"/>
        <v>4178299.9859368326</v>
      </c>
      <c r="O21" s="120"/>
    </row>
    <row r="22" spans="1:15" ht="21" x14ac:dyDescent="0.35">
      <c r="A22" s="43"/>
      <c r="B22" s="43"/>
      <c r="C22" s="43"/>
      <c r="D22" s="43"/>
      <c r="E22" s="43"/>
      <c r="F22" s="43"/>
      <c r="G22" s="43"/>
      <c r="H22" s="43"/>
    </row>
    <row r="23" spans="1:15" ht="21" x14ac:dyDescent="0.35">
      <c r="A23" s="412" t="s">
        <v>249</v>
      </c>
      <c r="B23" s="412"/>
      <c r="C23" s="412"/>
      <c r="D23" s="412"/>
      <c r="E23" s="412"/>
      <c r="F23" s="412"/>
      <c r="G23" s="412"/>
    </row>
    <row r="24" spans="1:15" ht="18.75" x14ac:dyDescent="0.3">
      <c r="A24" s="98"/>
      <c r="B24" s="98"/>
      <c r="C24" s="98"/>
      <c r="D24" s="98"/>
      <c r="E24" s="98"/>
      <c r="F24" s="98"/>
      <c r="G24" s="160" t="s">
        <v>250</v>
      </c>
      <c r="H24" s="283">
        <f>+BASE_INFORMATION!B14</f>
        <v>2027</v>
      </c>
    </row>
    <row r="25" spans="1:15" x14ac:dyDescent="0.25">
      <c r="A25" s="98"/>
      <c r="B25" s="98"/>
      <c r="C25" s="98"/>
      <c r="D25" s="98"/>
      <c r="E25" s="98"/>
      <c r="F25" s="98"/>
      <c r="G25" s="98"/>
    </row>
    <row r="26" spans="1:15" ht="15.75" x14ac:dyDescent="0.25">
      <c r="A26" s="6"/>
      <c r="B26" s="6" t="s">
        <v>161</v>
      </c>
      <c r="C26" s="6" t="s">
        <v>162</v>
      </c>
      <c r="D26" s="6" t="s">
        <v>163</v>
      </c>
      <c r="E26" s="6" t="s">
        <v>178</v>
      </c>
      <c r="F26" s="6" t="s">
        <v>165</v>
      </c>
      <c r="G26" s="6" t="s">
        <v>166</v>
      </c>
      <c r="H26" s="6" t="s">
        <v>169</v>
      </c>
      <c r="I26" s="6" t="s">
        <v>170</v>
      </c>
      <c r="J26" s="6" t="s">
        <v>171</v>
      </c>
      <c r="K26" s="6" t="s">
        <v>172</v>
      </c>
      <c r="L26" s="6" t="s">
        <v>173</v>
      </c>
      <c r="M26" s="6" t="s">
        <v>174</v>
      </c>
      <c r="N26" s="6" t="s">
        <v>24</v>
      </c>
    </row>
    <row r="27" spans="1:15" ht="21" x14ac:dyDescent="0.35">
      <c r="A27" s="158" t="s">
        <v>236</v>
      </c>
      <c r="B27" s="99"/>
      <c r="C27" s="99"/>
      <c r="D27" s="99"/>
      <c r="E27" s="99"/>
      <c r="F27" s="99"/>
      <c r="G27" s="99"/>
      <c r="H27" s="6"/>
      <c r="I27" s="6"/>
      <c r="J27" s="6"/>
      <c r="K27" s="6"/>
      <c r="L27" s="6"/>
      <c r="M27" s="6"/>
      <c r="N27" s="6"/>
    </row>
    <row r="28" spans="1:15" ht="21" x14ac:dyDescent="0.35">
      <c r="A28" s="454" t="s">
        <v>205</v>
      </c>
      <c r="B28" s="454"/>
      <c r="C28" s="454"/>
      <c r="D28" s="454"/>
      <c r="E28" s="454"/>
      <c r="F28" s="454"/>
      <c r="G28" s="454"/>
      <c r="H28" s="279"/>
      <c r="I28" s="279"/>
      <c r="J28" s="279"/>
      <c r="K28" s="279"/>
      <c r="L28" s="279"/>
      <c r="M28" s="279"/>
      <c r="N28" s="279"/>
    </row>
    <row r="29" spans="1:15" ht="18.75" x14ac:dyDescent="0.3">
      <c r="A29" s="92" t="s">
        <v>206</v>
      </c>
      <c r="B29" s="93">
        <f>+'Detail_Chiffr d''affair-Previsl'!B22</f>
        <v>17000000</v>
      </c>
      <c r="C29" s="93">
        <f>+'Detail_Chiffr d''affair-Previsl'!C22</f>
        <v>19550000</v>
      </c>
      <c r="D29" s="93">
        <f>+'Detail_Chiffr d''affair-Previsl'!D22</f>
        <v>22482499.999999996</v>
      </c>
      <c r="E29" s="93">
        <f>+'Detail_Chiffr d''affair-Previsl'!E22</f>
        <v>25854874.999999993</v>
      </c>
      <c r="F29" s="93">
        <f>+'Detail_Chiffr d''affair-Previsl'!F22</f>
        <v>29733106.249999993</v>
      </c>
      <c r="G29" s="93">
        <f>+'Detail_Chiffr d''affair-Previsl'!G22</f>
        <v>34193072.187499985</v>
      </c>
      <c r="H29" s="93">
        <f>+'Detail_Chiffr d''affair-Previsl'!H22</f>
        <v>39322033.015624978</v>
      </c>
      <c r="I29" s="93">
        <f>+'Detail_Chiffr d''affair-Previsl'!I22</f>
        <v>45220337.967968717</v>
      </c>
      <c r="J29" s="93">
        <f>+'Detail_Chiffr d''affair-Previsl'!J22</f>
        <v>52003388.66316402</v>
      </c>
      <c r="K29" s="93">
        <f>+'Detail_Chiffr d''affair-Previsl'!K22</f>
        <v>59803896.962638624</v>
      </c>
      <c r="L29" s="93">
        <f>+'Detail_Chiffr d''affair-Previsl'!L22</f>
        <v>68774481.507034421</v>
      </c>
      <c r="M29" s="93">
        <f>+'Detail_Chiffr d''affair-Previsl'!M22</f>
        <v>79090653.733089566</v>
      </c>
      <c r="N29" s="27">
        <f>SUM(B29:M29)</f>
        <v>493028345.28702033</v>
      </c>
    </row>
    <row r="30" spans="1:15" ht="18.75" x14ac:dyDescent="0.3">
      <c r="A30" s="92" t="s">
        <v>237</v>
      </c>
      <c r="B30" s="96"/>
      <c r="C30" s="93"/>
      <c r="D30" s="93"/>
      <c r="E30" s="93"/>
      <c r="F30" s="93"/>
      <c r="G30" s="93"/>
      <c r="H30" s="27"/>
      <c r="I30" s="28"/>
      <c r="J30" s="28"/>
      <c r="K30" s="28"/>
      <c r="L30" s="28"/>
      <c r="M30" s="28"/>
      <c r="N30" s="27"/>
    </row>
    <row r="31" spans="1:15" ht="21" x14ac:dyDescent="0.35">
      <c r="A31" s="101" t="s">
        <v>251</v>
      </c>
      <c r="B31" s="96">
        <f>+B29+B30</f>
        <v>17000000</v>
      </c>
      <c r="C31" s="96">
        <f>+C29</f>
        <v>19550000</v>
      </c>
      <c r="D31" s="96">
        <f>+D29</f>
        <v>22482499.999999996</v>
      </c>
      <c r="E31" s="96">
        <f t="shared" ref="E31:M31" si="4">E29</f>
        <v>25854874.999999993</v>
      </c>
      <c r="F31" s="96">
        <f t="shared" si="4"/>
        <v>29733106.249999993</v>
      </c>
      <c r="G31" s="96">
        <f t="shared" si="4"/>
        <v>34193072.187499985</v>
      </c>
      <c r="H31" s="96">
        <f t="shared" si="4"/>
        <v>39322033.015624978</v>
      </c>
      <c r="I31" s="96">
        <f t="shared" si="4"/>
        <v>45220337.967968717</v>
      </c>
      <c r="J31" s="96">
        <f t="shared" si="4"/>
        <v>52003388.66316402</v>
      </c>
      <c r="K31" s="96">
        <f t="shared" si="4"/>
        <v>59803896.962638624</v>
      </c>
      <c r="L31" s="96">
        <f t="shared" si="4"/>
        <v>68774481.507034421</v>
      </c>
      <c r="M31" s="96">
        <f t="shared" si="4"/>
        <v>79090653.733089566</v>
      </c>
      <c r="N31" s="27">
        <f>SUM(B31:M31)</f>
        <v>493028345.28702033</v>
      </c>
    </row>
    <row r="32" spans="1:15" ht="21" x14ac:dyDescent="0.35">
      <c r="A32" s="455" t="s">
        <v>207</v>
      </c>
      <c r="B32" s="455"/>
      <c r="C32" s="455"/>
      <c r="D32" s="455"/>
      <c r="E32" s="455"/>
      <c r="F32" s="455"/>
      <c r="G32" s="455"/>
      <c r="H32" s="280"/>
      <c r="I32" s="280"/>
      <c r="J32" s="280"/>
      <c r="K32" s="280"/>
      <c r="L32" s="280"/>
      <c r="M32" s="280"/>
      <c r="N32" s="280"/>
    </row>
    <row r="33" spans="1:14" ht="18.75" x14ac:dyDescent="0.3">
      <c r="A33" s="92" t="s">
        <v>208</v>
      </c>
      <c r="B33" s="93">
        <f>+'Detail charge d''exploit_previsl'!B45</f>
        <v>2512291.3538746103</v>
      </c>
      <c r="C33" s="93">
        <f>+'Detail charge d''exploit_previsl'!C45</f>
        <v>2889135.0569558013</v>
      </c>
      <c r="D33" s="93">
        <f>+'Detail charge d''exploit_previsl'!D45</f>
        <v>3322505.3154991716</v>
      </c>
      <c r="E33" s="93">
        <f>+'Detail charge d''exploit_previsl'!E45</f>
        <v>3820881.1128240474</v>
      </c>
      <c r="F33" s="93">
        <f>+'Detail charge d''exploit_previsl'!F45</f>
        <v>4394013.2797476538</v>
      </c>
      <c r="G33" s="93">
        <f>+'Detail charge d''exploit_previsl'!G45</f>
        <v>5053115.2717098016</v>
      </c>
      <c r="H33" s="93">
        <f>+'Detail charge d''exploit_previsl'!H45</f>
        <v>5811082.5624662712</v>
      </c>
      <c r="I33" s="93">
        <f>+'Detail charge d''exploit_previsl'!I45</f>
        <v>6682744.9468362108</v>
      </c>
      <c r="J33" s="93">
        <f>+'Detail charge d''exploit_previsl'!J45</f>
        <v>7685156.688861643</v>
      </c>
      <c r="K33" s="93">
        <f>+'Detail charge d''exploit_previsl'!K45</f>
        <v>8837930.1921908874</v>
      </c>
      <c r="L33" s="93">
        <f>+'Detail charge d''exploit_previsl'!L45</f>
        <v>10163619.721019519</v>
      </c>
      <c r="M33" s="93">
        <f>+'Detail charge d''exploit_previsl'!M45</f>
        <v>11688162.679172447</v>
      </c>
      <c r="N33" s="68">
        <f>SUM(B33:M33)</f>
        <v>72860638.181158066</v>
      </c>
    </row>
    <row r="34" spans="1:14" ht="18.75" x14ac:dyDescent="0.3">
      <c r="A34" s="92" t="s">
        <v>209</v>
      </c>
      <c r="B34" s="93">
        <f>+'Detail charge d''exploit_previsl'!B51</f>
        <v>4554691.1767467465</v>
      </c>
      <c r="C34" s="93">
        <f>+'Detail charge d''exploit_previsl'!C51</f>
        <v>5237894.8532587579</v>
      </c>
      <c r="D34" s="93">
        <f>+'Detail charge d''exploit_previsl'!D51</f>
        <v>6023579.0812475709</v>
      </c>
      <c r="E34" s="93">
        <f>+'Detail charge d''exploit_previsl'!E51</f>
        <v>6927115.943434706</v>
      </c>
      <c r="F34" s="93">
        <f>+'Detail charge d''exploit_previsl'!F51</f>
        <v>7966183.3349499116</v>
      </c>
      <c r="G34" s="93">
        <f>+'Detail charge d''exploit_previsl'!G51</f>
        <v>9161110.8351923991</v>
      </c>
      <c r="H34" s="93">
        <f>+'Detail charge d''exploit_previsl'!H51</f>
        <v>10535277.460471258</v>
      </c>
      <c r="I34" s="93">
        <f>+'Detail charge d''exploit_previsl'!I51</f>
        <v>12115569.079541944</v>
      </c>
      <c r="J34" s="93">
        <f>+'Detail charge d''exploit_previsl'!J51</f>
        <v>13932904.441473233</v>
      </c>
      <c r="K34" s="93">
        <f>+'Detail charge d''exploit_previsl'!K51</f>
        <v>16022840.107694218</v>
      </c>
      <c r="L34" s="93">
        <f>+'Detail charge d''exploit_previsl'!L51</f>
        <v>18426266.123848349</v>
      </c>
      <c r="M34" s="93">
        <f>+'Detail charge d''exploit_previsl'!M51</f>
        <v>21190206.042425595</v>
      </c>
      <c r="N34" s="68">
        <f>SUM(B34:M34)</f>
        <v>132093638.48028469</v>
      </c>
    </row>
    <row r="35" spans="1:14" ht="18.75" x14ac:dyDescent="0.3">
      <c r="A35" s="92" t="s">
        <v>210</v>
      </c>
      <c r="B35" s="93">
        <f>+'Detail charge d''exploit_previsl'!B56</f>
        <v>10035208.24131025</v>
      </c>
      <c r="C35" s="93">
        <f>+'Detail charge d''exploit_previsl'!C56</f>
        <v>11540489.477506788</v>
      </c>
      <c r="D35" s="93">
        <f>+'Detail charge d''exploit_previsl'!D56</f>
        <v>13271562.899132803</v>
      </c>
      <c r="E35" s="93">
        <f>+'Detail charge d''exploit_previsl'!E56</f>
        <v>15262297.334002724</v>
      </c>
      <c r="F35" s="93">
        <f>+'Detail charge d''exploit_previsl'!F56</f>
        <v>17551641.934103131</v>
      </c>
      <c r="G35" s="93">
        <f>+'Detail charge d''exploit_previsl'!G56</f>
        <v>20184388.224218596</v>
      </c>
      <c r="H35" s="93">
        <f>+'Detail charge d''exploit_previsl'!H56</f>
        <v>23212046.457851388</v>
      </c>
      <c r="I35" s="93">
        <f>+'Detail charge d''exploit_previsl'!I56</f>
        <v>26693853.426529095</v>
      </c>
      <c r="J35" s="93">
        <f>+'Detail charge d''exploit_previsl'!J56</f>
        <v>30697931.440508455</v>
      </c>
      <c r="K35" s="93">
        <f>+'Detail charge d''exploit_previsl'!K56</f>
        <v>35302621.156584717</v>
      </c>
      <c r="L35" s="93">
        <f>+'Detail charge d''exploit_previsl'!L56</f>
        <v>40598014.330072418</v>
      </c>
      <c r="M35" s="93">
        <f>+'Detail charge d''exploit_previsl'!M56</f>
        <v>46687716.479583293</v>
      </c>
      <c r="N35" s="68">
        <f>SUM(B35:M35)</f>
        <v>291037771.40140367</v>
      </c>
    </row>
    <row r="36" spans="1:14" ht="18.75" x14ac:dyDescent="0.3">
      <c r="A36" s="92" t="s">
        <v>211</v>
      </c>
      <c r="B36" s="93">
        <f>+'Detail charge d''exploit_previsl'!B60</f>
        <v>762992.18895451119</v>
      </c>
      <c r="C36" s="93">
        <f>+'Detail charge d''exploit_previsl'!C60</f>
        <v>877441.01729768771</v>
      </c>
      <c r="D36" s="93">
        <f>+'Detail charge d''exploit_previsl'!D60</f>
        <v>1009057.1698923407</v>
      </c>
      <c r="E36" s="93">
        <f>+'Detail charge d''exploit_previsl'!E60</f>
        <v>1160415.7453761918</v>
      </c>
      <c r="F36" s="93">
        <f>+'Detail charge d''exploit_previsl'!F60</f>
        <v>1334478.1071826203</v>
      </c>
      <c r="G36" s="93">
        <f>+'Detail charge d''exploit_previsl'!G60</f>
        <v>1534649.8232600132</v>
      </c>
      <c r="H36" s="93">
        <f>+'Detail charge d''exploit_previsl'!H60</f>
        <v>1764847.2967490151</v>
      </c>
      <c r="I36" s="93">
        <f>+'Detail charge d''exploit_previsl'!I60</f>
        <v>2029574.3912613671</v>
      </c>
      <c r="J36" s="93">
        <f>+'Detail charge d''exploit_previsl'!J60</f>
        <v>2334010.5499505722</v>
      </c>
      <c r="K36" s="93">
        <f>+'Detail charge d''exploit_previsl'!K60</f>
        <v>2684112.132443158</v>
      </c>
      <c r="L36" s="93">
        <f>+'Detail charge d''exploit_previsl'!L60</f>
        <v>3086728.9523096308</v>
      </c>
      <c r="M36" s="93">
        <f>+'Detail charge d''exploit_previsl'!M60</f>
        <v>3549738.2951560756</v>
      </c>
      <c r="N36" s="68">
        <f>SUM(B36:M36)</f>
        <v>22128045.669833183</v>
      </c>
    </row>
    <row r="37" spans="1:14" ht="18.75" x14ac:dyDescent="0.3">
      <c r="A37" s="92" t="s">
        <v>239</v>
      </c>
      <c r="B37" s="93">
        <f>+'TABL-AMORT-EMPR_-5ans'!E18</f>
        <v>33333.333333333328</v>
      </c>
      <c r="C37" s="93">
        <f>+'TABL-AMORT-EMPR_-5ans'!E19</f>
        <v>30555.555555555547</v>
      </c>
      <c r="D37" s="93">
        <f>+'TABL-AMORT-EMPR_-5ans'!E20</f>
        <v>27777.77777777777</v>
      </c>
      <c r="E37" s="93">
        <f>+'TABL-AMORT-EMPR_-5ans'!E21</f>
        <v>24999.999999999996</v>
      </c>
      <c r="F37" s="93">
        <f>+'TABL-AMORT-EMPR_-5ans'!E22</f>
        <v>22222.222222222219</v>
      </c>
      <c r="G37" s="93">
        <f>+'TABL-AMORT-EMPR_-5ans'!E23</f>
        <v>19444.444444444442</v>
      </c>
      <c r="H37" s="93">
        <f>+'TABL-AMORT-EMPR_-5ans'!E24</f>
        <v>16666.666666666664</v>
      </c>
      <c r="I37" s="93">
        <f>+'TABL-AMORT-EMPR_-5ans'!E25</f>
        <v>13888.888888888885</v>
      </c>
      <c r="J37" s="93">
        <f>+'TABL-AMORT-EMPR_-5ans'!E26</f>
        <v>11111.111111111108</v>
      </c>
      <c r="K37" s="93">
        <f>+'TABL-AMORT-EMPR_-5ans'!E27</f>
        <v>8333.3333333333285</v>
      </c>
      <c r="L37" s="93">
        <f>+'TABL-AMORT-EMPR_-5ans'!E28</f>
        <v>5555.5555555555502</v>
      </c>
      <c r="M37" s="93">
        <f>+'TABL-AMORT-EMPR_-5ans'!E29</f>
        <v>2777.7777777777724</v>
      </c>
      <c r="N37" s="68">
        <f>SUM(B37:M37)</f>
        <v>216666.6666666666</v>
      </c>
    </row>
    <row r="38" spans="1:14" ht="21" x14ac:dyDescent="0.35">
      <c r="A38" s="161" t="s">
        <v>240</v>
      </c>
      <c r="B38" s="116"/>
      <c r="C38" s="116"/>
      <c r="D38" s="116"/>
      <c r="E38" s="116"/>
      <c r="F38" s="116"/>
      <c r="G38" s="116"/>
      <c r="H38" s="120"/>
      <c r="I38" s="120"/>
      <c r="J38" s="120"/>
      <c r="K38" s="120"/>
      <c r="L38" s="120"/>
      <c r="M38" s="120"/>
      <c r="N38" s="120"/>
    </row>
    <row r="39" spans="1:14" ht="18.75" x14ac:dyDescent="0.25">
      <c r="A39" s="281" t="s">
        <v>241</v>
      </c>
      <c r="B39" s="93">
        <f>+'TABL-AMORT-EMPR_-5ans'!D18</f>
        <v>416666.66666666669</v>
      </c>
      <c r="C39" s="93">
        <f>+'TABL-AMORT-EMPR_-5ans'!D19</f>
        <v>416666.66666666669</v>
      </c>
      <c r="D39" s="93">
        <f>+'TABL-AMORT-EMPR_-5ans'!D20</f>
        <v>416666.66666666669</v>
      </c>
      <c r="E39" s="93">
        <f>+'TABL-AMORT-EMPR_-5ans'!D21</f>
        <v>416666.66666666669</v>
      </c>
      <c r="F39" s="93">
        <f>+'TABL-AMORT-EMPR_-5ans'!D22</f>
        <v>416666.66666666669</v>
      </c>
      <c r="G39" s="93">
        <f>+'TABL-AMORT-EMPR_-5ans'!D23</f>
        <v>416666.66666666669</v>
      </c>
      <c r="H39" s="28">
        <f>+'TABL-AMORT-EMPR_-5ans'!D24</f>
        <v>416666.66666666669</v>
      </c>
      <c r="I39" s="28">
        <f>+'TABL-AMORT-EMPR_-5ans'!D25</f>
        <v>416666.66666666669</v>
      </c>
      <c r="J39" s="28">
        <f>+'TABL-AMORT-EMPR_-5ans'!D26</f>
        <v>416666.66666666669</v>
      </c>
      <c r="K39" s="28">
        <f>+'TABL-AMORT-EMPR_-5ans'!D27</f>
        <v>416666.66666666669</v>
      </c>
      <c r="L39" s="28">
        <f>+'TABL-AMORT-EMPR_-5ans'!D28</f>
        <v>416666.66666666669</v>
      </c>
      <c r="M39" s="28">
        <f>+'TABL-AMORT-EMPR_-5ans'!D29</f>
        <v>416666.66666666669</v>
      </c>
      <c r="N39" s="27">
        <f>SUM(B39:M39)</f>
        <v>5000000</v>
      </c>
    </row>
    <row r="40" spans="1:14" ht="18.75" x14ac:dyDescent="0.3">
      <c r="A40" s="92" t="s">
        <v>242</v>
      </c>
      <c r="B40" s="96"/>
      <c r="C40" s="93"/>
      <c r="D40" s="93"/>
      <c r="E40" s="93"/>
      <c r="F40" s="93"/>
      <c r="G40" s="93"/>
      <c r="H40" s="27"/>
      <c r="I40" s="28"/>
      <c r="J40" s="28"/>
      <c r="K40" s="28"/>
      <c r="L40" s="28"/>
      <c r="M40" s="28"/>
      <c r="N40" s="27">
        <f>SUM(B40:M40)</f>
        <v>0</v>
      </c>
    </row>
    <row r="41" spans="1:14" ht="18.75" x14ac:dyDescent="0.3">
      <c r="A41" s="95" t="s">
        <v>212</v>
      </c>
      <c r="B41" s="96">
        <f t="shared" ref="B41:M41" si="5">SUM(B33:B40)</f>
        <v>18315182.960886117</v>
      </c>
      <c r="C41" s="96">
        <f t="shared" si="5"/>
        <v>20992182.627241261</v>
      </c>
      <c r="D41" s="96">
        <f t="shared" si="5"/>
        <v>24071148.910216331</v>
      </c>
      <c r="E41" s="96">
        <f t="shared" si="5"/>
        <v>27612376.802304339</v>
      </c>
      <c r="F41" s="96">
        <f t="shared" si="5"/>
        <v>31685205.544872209</v>
      </c>
      <c r="G41" s="96">
        <f t="shared" si="5"/>
        <v>36369375.265491925</v>
      </c>
      <c r="H41" s="27">
        <f t="shared" si="5"/>
        <v>41756587.110871263</v>
      </c>
      <c r="I41" s="27">
        <f t="shared" si="5"/>
        <v>47952297.399724171</v>
      </c>
      <c r="J41" s="27">
        <f t="shared" si="5"/>
        <v>55077780.898571678</v>
      </c>
      <c r="K41" s="27">
        <f t="shared" si="5"/>
        <v>63272503.588912979</v>
      </c>
      <c r="L41" s="27">
        <f t="shared" si="5"/>
        <v>72696851.34947215</v>
      </c>
      <c r="M41" s="27">
        <f t="shared" si="5"/>
        <v>83535267.940781862</v>
      </c>
      <c r="N41" s="27">
        <f>SUM(B41:M41)</f>
        <v>523336760.39934623</v>
      </c>
    </row>
    <row r="42" spans="1:14" ht="21" x14ac:dyDescent="0.35">
      <c r="A42" s="101" t="s">
        <v>236</v>
      </c>
      <c r="B42" s="93">
        <f t="shared" ref="B42:M42" si="6">B31-B41</f>
        <v>-1315182.9608861171</v>
      </c>
      <c r="C42" s="93">
        <f t="shared" si="6"/>
        <v>-1442182.6272412613</v>
      </c>
      <c r="D42" s="93">
        <f t="shared" si="6"/>
        <v>-1588648.9102163352</v>
      </c>
      <c r="E42" s="93">
        <f t="shared" si="6"/>
        <v>-1757501.8023043461</v>
      </c>
      <c r="F42" s="93">
        <f t="shared" si="6"/>
        <v>-1952099.2948722169</v>
      </c>
      <c r="G42" s="93">
        <f t="shared" si="6"/>
        <v>-2176303.0779919401</v>
      </c>
      <c r="H42" s="28">
        <f t="shared" si="6"/>
        <v>-2434554.0952462852</v>
      </c>
      <c r="I42" s="28">
        <f t="shared" si="6"/>
        <v>-2731959.4317554533</v>
      </c>
      <c r="J42" s="28">
        <f t="shared" si="6"/>
        <v>-3074392.2354076579</v>
      </c>
      <c r="K42" s="28">
        <f t="shared" si="6"/>
        <v>-3468606.6262743548</v>
      </c>
      <c r="L42" s="28">
        <f t="shared" si="6"/>
        <v>-3922369.8424377292</v>
      </c>
      <c r="M42" s="28">
        <f t="shared" si="6"/>
        <v>-4444614.2076922953</v>
      </c>
      <c r="N42" s="27">
        <f>SUM(B42:M42)</f>
        <v>-30308415.112325992</v>
      </c>
    </row>
    <row r="43" spans="1:14" ht="21" x14ac:dyDescent="0.35">
      <c r="A43" s="161" t="s">
        <v>243</v>
      </c>
      <c r="B43" s="117">
        <f>N21+B42</f>
        <v>2863117.0250507155</v>
      </c>
      <c r="C43" s="117">
        <f>B43+C42</f>
        <v>1420934.3978094542</v>
      </c>
      <c r="D43" s="117">
        <f>C43+D42</f>
        <v>-167714.51240688097</v>
      </c>
      <c r="E43" s="117">
        <f t="shared" ref="E43:M43" si="7">+D43+E42</f>
        <v>-1925216.3147112271</v>
      </c>
      <c r="F43" s="117">
        <f t="shared" si="7"/>
        <v>-3877315.609583444</v>
      </c>
      <c r="G43" s="118">
        <f t="shared" si="7"/>
        <v>-6053618.687575384</v>
      </c>
      <c r="H43" s="118">
        <f t="shared" si="7"/>
        <v>-8488172.7828216702</v>
      </c>
      <c r="I43" s="118">
        <f t="shared" si="7"/>
        <v>-11220132.214577124</v>
      </c>
      <c r="J43" s="118">
        <f t="shared" si="7"/>
        <v>-14294524.449984781</v>
      </c>
      <c r="K43" s="118">
        <f t="shared" si="7"/>
        <v>-17763131.076259136</v>
      </c>
      <c r="L43" s="118">
        <f t="shared" si="7"/>
        <v>-21685500.918696865</v>
      </c>
      <c r="M43" s="118">
        <f t="shared" si="7"/>
        <v>-26130115.126389161</v>
      </c>
      <c r="N43" s="120"/>
    </row>
    <row r="45" spans="1:14" ht="21" x14ac:dyDescent="0.35">
      <c r="A45" s="412" t="s">
        <v>249</v>
      </c>
      <c r="B45" s="412"/>
      <c r="C45" s="412"/>
      <c r="D45" s="412"/>
      <c r="E45" s="412"/>
      <c r="F45" s="412"/>
      <c r="G45" s="412"/>
    </row>
    <row r="46" spans="1:14" ht="18.75" x14ac:dyDescent="0.3">
      <c r="A46" s="98"/>
      <c r="B46" s="98"/>
      <c r="C46" s="98"/>
      <c r="D46" s="98"/>
      <c r="E46" s="98"/>
      <c r="F46" s="98"/>
      <c r="G46" s="160" t="s">
        <v>250</v>
      </c>
      <c r="H46" s="283">
        <f>+BASE_INFORMATION!C14</f>
        <v>2028</v>
      </c>
    </row>
    <row r="47" spans="1:14" x14ac:dyDescent="0.25">
      <c r="A47" s="98"/>
      <c r="B47" s="98"/>
      <c r="C47" s="98"/>
      <c r="D47" s="98"/>
      <c r="E47" s="98"/>
      <c r="F47" s="98"/>
      <c r="G47" s="98"/>
    </row>
    <row r="48" spans="1:14" ht="15.75" x14ac:dyDescent="0.25">
      <c r="A48" s="6"/>
      <c r="B48" s="6" t="s">
        <v>161</v>
      </c>
      <c r="C48" s="6" t="s">
        <v>162</v>
      </c>
      <c r="D48" s="6" t="s">
        <v>163</v>
      </c>
      <c r="E48" s="6" t="s">
        <v>178</v>
      </c>
      <c r="F48" s="6" t="s">
        <v>165</v>
      </c>
      <c r="G48" s="6" t="s">
        <v>166</v>
      </c>
      <c r="H48" s="6" t="s">
        <v>169</v>
      </c>
      <c r="I48" s="6" t="s">
        <v>170</v>
      </c>
      <c r="J48" s="6" t="s">
        <v>171</v>
      </c>
      <c r="K48" s="6" t="s">
        <v>172</v>
      </c>
      <c r="L48" s="6" t="s">
        <v>173</v>
      </c>
      <c r="M48" s="6" t="s">
        <v>174</v>
      </c>
      <c r="N48" s="6" t="s">
        <v>24</v>
      </c>
    </row>
    <row r="49" spans="1:14" ht="21" x14ac:dyDescent="0.35">
      <c r="A49" s="158" t="s">
        <v>236</v>
      </c>
      <c r="B49" s="99"/>
      <c r="C49" s="99"/>
      <c r="D49" s="99"/>
      <c r="E49" s="99"/>
      <c r="F49" s="99"/>
      <c r="G49" s="99"/>
      <c r="H49" s="6"/>
      <c r="I49" s="6"/>
      <c r="J49" s="6"/>
      <c r="K49" s="6"/>
      <c r="L49" s="6"/>
      <c r="M49" s="6"/>
      <c r="N49" s="6"/>
    </row>
    <row r="50" spans="1:14" ht="21" x14ac:dyDescent="0.35">
      <c r="A50" s="454" t="s">
        <v>205</v>
      </c>
      <c r="B50" s="454"/>
      <c r="C50" s="454"/>
      <c r="D50" s="454"/>
      <c r="E50" s="454"/>
      <c r="F50" s="454"/>
      <c r="G50" s="454"/>
      <c r="H50" s="279"/>
      <c r="I50" s="279"/>
      <c r="J50" s="279"/>
      <c r="K50" s="279"/>
      <c r="L50" s="279"/>
      <c r="M50" s="279"/>
      <c r="N50" s="279"/>
    </row>
    <row r="51" spans="1:14" ht="18.75" x14ac:dyDescent="0.3">
      <c r="A51" s="92" t="s">
        <v>206</v>
      </c>
      <c r="B51" s="93">
        <f>+'Detail_Chiffr d''affair-Previsl'!B34</f>
        <v>82000000</v>
      </c>
      <c r="C51" s="93">
        <f>+'Detail_Chiffr d''affair-Previsl'!C34</f>
        <v>94299999.999999985</v>
      </c>
      <c r="D51" s="93">
        <f>+'Detail_Chiffr d''affair-Previsl'!D34</f>
        <v>108444999.99999997</v>
      </c>
      <c r="E51" s="93">
        <f>+'Detail_Chiffr d''affair-Previsl'!E34</f>
        <v>124711749.99999994</v>
      </c>
      <c r="F51" s="93">
        <f>+'Detail_Chiffr d''affair-Previsl'!F34</f>
        <v>143418512.49999994</v>
      </c>
      <c r="G51" s="93">
        <f>+'Detail_Chiffr d''affair-Previsl'!G34</f>
        <v>164931289.37499988</v>
      </c>
      <c r="H51" s="93">
        <f>+'Detail_Chiffr d''affair-Previsl'!H34</f>
        <v>189670982.78124985</v>
      </c>
      <c r="I51" s="93">
        <f>+'Detail_Chiffr d''affair-Previsl'!I34</f>
        <v>218121630.19843736</v>
      </c>
      <c r="J51" s="93">
        <f>+'Detail_Chiffr d''affair-Previsl'!J34</f>
        <v>250839874.72820294</v>
      </c>
      <c r="K51" s="93">
        <f>+'Detail_Chiffr d''affair-Previsl'!K34</f>
        <v>288465855.9374333</v>
      </c>
      <c r="L51" s="93">
        <f>+'Detail_Chiffr d''affair-Previsl'!L34</f>
        <v>331735734.32804835</v>
      </c>
      <c r="M51" s="93">
        <f>+'Detail_Chiffr d''affair-Previsl'!M34</f>
        <v>381496094.47725552</v>
      </c>
      <c r="N51" s="27">
        <f>SUM(H51:M51)</f>
        <v>1660330172.4506276</v>
      </c>
    </row>
    <row r="52" spans="1:14" ht="18.75" x14ac:dyDescent="0.3">
      <c r="A52" s="92" t="s">
        <v>237</v>
      </c>
      <c r="B52" s="96">
        <f>+BASE_INFORMATION!C51</f>
        <v>0</v>
      </c>
      <c r="C52" s="93"/>
      <c r="D52" s="93"/>
      <c r="E52" s="93"/>
      <c r="F52" s="93"/>
      <c r="G52" s="93"/>
      <c r="H52" s="27"/>
      <c r="I52" s="28"/>
      <c r="J52" s="28"/>
      <c r="K52" s="28"/>
      <c r="L52" s="28"/>
      <c r="M52" s="28"/>
      <c r="N52" s="27"/>
    </row>
    <row r="53" spans="1:14" ht="21" x14ac:dyDescent="0.35">
      <c r="A53" s="101" t="s">
        <v>251</v>
      </c>
      <c r="B53" s="96">
        <f>+B51+B52</f>
        <v>82000000</v>
      </c>
      <c r="C53" s="96">
        <f>+C51</f>
        <v>94299999.999999985</v>
      </c>
      <c r="D53" s="96">
        <f>+D51</f>
        <v>108444999.99999997</v>
      </c>
      <c r="E53" s="96">
        <f t="shared" ref="E53:M53" si="8">E51</f>
        <v>124711749.99999994</v>
      </c>
      <c r="F53" s="96">
        <f t="shared" si="8"/>
        <v>143418512.49999994</v>
      </c>
      <c r="G53" s="96">
        <f t="shared" si="8"/>
        <v>164931289.37499988</v>
      </c>
      <c r="H53" s="96">
        <f t="shared" si="8"/>
        <v>189670982.78124985</v>
      </c>
      <c r="I53" s="96">
        <f t="shared" si="8"/>
        <v>218121630.19843736</v>
      </c>
      <c r="J53" s="96">
        <f t="shared" si="8"/>
        <v>250839874.72820294</v>
      </c>
      <c r="K53" s="96">
        <f t="shared" si="8"/>
        <v>288465855.9374333</v>
      </c>
      <c r="L53" s="96">
        <f t="shared" si="8"/>
        <v>331735734.32804835</v>
      </c>
      <c r="M53" s="96">
        <f t="shared" si="8"/>
        <v>381496094.47725552</v>
      </c>
      <c r="N53" s="27">
        <f>SUM(B53:M53)</f>
        <v>2378136724.3256269</v>
      </c>
    </row>
    <row r="54" spans="1:14" ht="21" x14ac:dyDescent="0.35">
      <c r="A54" s="455" t="s">
        <v>207</v>
      </c>
      <c r="B54" s="455"/>
      <c r="C54" s="455"/>
      <c r="D54" s="455"/>
      <c r="E54" s="455"/>
      <c r="F54" s="455"/>
      <c r="G54" s="455"/>
      <c r="H54" s="280"/>
      <c r="I54" s="280"/>
      <c r="J54" s="280"/>
      <c r="K54" s="280"/>
      <c r="L54" s="280"/>
      <c r="M54" s="280"/>
      <c r="N54" s="280"/>
    </row>
    <row r="55" spans="1:14" ht="18.75" x14ac:dyDescent="0.3">
      <c r="A55" s="92" t="s">
        <v>208</v>
      </c>
      <c r="B55" s="93">
        <f>+'Detail charge d''exploit_previsl'!B76</f>
        <v>11688162.679172447</v>
      </c>
      <c r="C55" s="93">
        <f>+'Detail charge d''exploit_previsl'!C76</f>
        <v>13441387.081048314</v>
      </c>
      <c r="D55" s="93">
        <f>+'Detail charge d''exploit_previsl'!D76</f>
        <v>15457595.143205561</v>
      </c>
      <c r="E55" s="93">
        <f>+'Detail charge d''exploit_previsl'!E76</f>
        <v>17776234.414686393</v>
      </c>
      <c r="F55" s="93">
        <f>+'Detail charge d''exploit_previsl'!F76</f>
        <v>20442669.576889347</v>
      </c>
      <c r="G55" s="93">
        <f>+'Detail charge d''exploit_previsl'!G76</f>
        <v>23509070.01342275</v>
      </c>
      <c r="H55" s="93">
        <f>+'Detail charge d''exploit_previsl'!H76</f>
        <v>27035430.515436158</v>
      </c>
      <c r="I55" s="93">
        <f>+'Detail charge d''exploit_previsl'!I76</f>
        <v>31090745.092751585</v>
      </c>
      <c r="J55" s="93">
        <f>+'Detail charge d''exploit_previsl'!J76</f>
        <v>35754356.856664315</v>
      </c>
      <c r="K55" s="93">
        <f>+'Detail charge d''exploit_previsl'!K76</f>
        <v>41117510.385163963</v>
      </c>
      <c r="L55" s="93">
        <f>+'Detail charge d''exploit_previsl'!L76</f>
        <v>47285136.942938551</v>
      </c>
      <c r="M55" s="93">
        <f>+'Detail charge d''exploit_previsl'!M76</f>
        <v>54377907.484379329</v>
      </c>
      <c r="N55" s="68">
        <f>SUM(B55:M55)</f>
        <v>338976206.18575877</v>
      </c>
    </row>
    <row r="56" spans="1:14" ht="18.75" x14ac:dyDescent="0.3">
      <c r="A56" s="92" t="s">
        <v>209</v>
      </c>
      <c r="B56" s="93">
        <f>+'Detail charge d''exploit_previsl'!B82</f>
        <v>21190206.042425595</v>
      </c>
      <c r="C56" s="93">
        <f>+'Detail charge d''exploit_previsl'!C82</f>
        <v>24368736.948789433</v>
      </c>
      <c r="D56" s="93">
        <f>+'Detail charge d''exploit_previsl'!D82</f>
        <v>28024047.491107851</v>
      </c>
      <c r="E56" s="93">
        <f>+'Detail charge d''exploit_previsl'!E82</f>
        <v>32227654.614774026</v>
      </c>
      <c r="F56" s="93">
        <f>+'Detail charge d''exploit_previsl'!F82</f>
        <v>37061802.806990132</v>
      </c>
      <c r="G56" s="93">
        <f>+'Detail charge d''exploit_previsl'!G82</f>
        <v>42621073.228038646</v>
      </c>
      <c r="H56" s="93">
        <f>+'Detail charge d''exploit_previsl'!H82</f>
        <v>49014234.212244444</v>
      </c>
      <c r="I56" s="93">
        <f>+'Detail charge d''exploit_previsl'!I82</f>
        <v>56366369.344081104</v>
      </c>
      <c r="J56" s="93">
        <f>+'Detail charge d''exploit_previsl'!J82</f>
        <v>64821324.745693266</v>
      </c>
      <c r="K56" s="93">
        <f>+'Detail charge d''exploit_previsl'!K82</f>
        <v>74544523.457547247</v>
      </c>
      <c r="L56" s="93">
        <f>+'Detail charge d''exploit_previsl'!L82</f>
        <v>85726201.976179332</v>
      </c>
      <c r="M56" s="93">
        <f>+'Detail charge d''exploit_previsl'!M82</f>
        <v>98585132.272606224</v>
      </c>
      <c r="N56" s="68">
        <f>SUM(B56:M56)</f>
        <v>614551307.1404773</v>
      </c>
    </row>
    <row r="57" spans="1:14" ht="18.75" x14ac:dyDescent="0.3">
      <c r="A57" s="92" t="s">
        <v>210</v>
      </c>
      <c r="B57" s="93">
        <f>+'Detail charge d''exploit_previsl'!B87</f>
        <v>46687716.479583293</v>
      </c>
      <c r="C57" s="93">
        <f>+'Detail charge d''exploit_previsl'!C87</f>
        <v>53690873.951520771</v>
      </c>
      <c r="D57" s="93">
        <f>+'Detail charge d''exploit_previsl'!D87</f>
        <v>61744505.044248886</v>
      </c>
      <c r="E57" s="93">
        <f>+'Detail charge d''exploit_previsl'!E87</f>
        <v>71006180.800886214</v>
      </c>
      <c r="F57" s="93">
        <f>+'Detail charge d''exploit_previsl'!F87</f>
        <v>81657107.921019137</v>
      </c>
      <c r="G57" s="93">
        <f>+'Detail charge d''exploit_previsl'!G87</f>
        <v>93905674.109172001</v>
      </c>
      <c r="H57" s="93">
        <f>+'Detail charge d''exploit_previsl'!H87</f>
        <v>107991525.22554779</v>
      </c>
      <c r="I57" s="93">
        <f>+'Detail charge d''exploit_previsl'!I87</f>
        <v>124190254.00937995</v>
      </c>
      <c r="J57" s="93">
        <f>+'Detail charge d''exploit_previsl'!J87</f>
        <v>142818792.11078694</v>
      </c>
      <c r="K57" s="93">
        <f>+'Detail charge d''exploit_previsl'!K87</f>
        <v>164241610.92740497</v>
      </c>
      <c r="L57" s="93">
        <f>+'Detail charge d''exploit_previsl'!L87</f>
        <v>188877852.56651571</v>
      </c>
      <c r="M57" s="93">
        <f>+'Detail charge d''exploit_previsl'!M87</f>
        <v>217209530.45149305</v>
      </c>
      <c r="N57" s="68">
        <f>SUM(B57:M57)</f>
        <v>1354021623.5975587</v>
      </c>
    </row>
    <row r="58" spans="1:14" ht="18.75" x14ac:dyDescent="0.3">
      <c r="A58" s="92" t="s">
        <v>211</v>
      </c>
      <c r="B58" s="93">
        <f>+'Detail charge d''exploit_previsl'!B91</f>
        <v>3549738.2951560756</v>
      </c>
      <c r="C58" s="93">
        <f>+'Detail charge d''exploit_previsl'!C91</f>
        <v>4082199.0394294867</v>
      </c>
      <c r="D58" s="93">
        <f>+'Detail charge d''exploit_previsl'!D91</f>
        <v>4694528.895343909</v>
      </c>
      <c r="E58" s="93">
        <f>+'Detail charge d''exploit_previsl'!E91</f>
        <v>5398708.2296454953</v>
      </c>
      <c r="F58" s="93">
        <f>+'Detail charge d''exploit_previsl'!F91</f>
        <v>6208514.4640923189</v>
      </c>
      <c r="G58" s="93">
        <f>+'Detail charge d''exploit_previsl'!G91</f>
        <v>7139791.6337061655</v>
      </c>
      <c r="H58" s="93">
        <f>+'Detail charge d''exploit_previsl'!H91</f>
        <v>8210760.3787620906</v>
      </c>
      <c r="I58" s="93">
        <f>+'Detail charge d''exploit_previsl'!I91</f>
        <v>9442374.4355764035</v>
      </c>
      <c r="J58" s="93">
        <f>+'Detail charge d''exploit_previsl'!J91</f>
        <v>10858730.600912863</v>
      </c>
      <c r="K58" s="93">
        <f>+'Detail charge d''exploit_previsl'!K91</f>
        <v>12487540.191049792</v>
      </c>
      <c r="L58" s="93">
        <f>+'Detail charge d''exploit_previsl'!L91</f>
        <v>14360671.21970726</v>
      </c>
      <c r="M58" s="93">
        <f>+'Detail charge d''exploit_previsl'!M91</f>
        <v>16514771.902663346</v>
      </c>
      <c r="N58" s="68">
        <f>SUM(B58:M58)</f>
        <v>102948329.28604521</v>
      </c>
    </row>
    <row r="59" spans="1:14" ht="18.75" x14ac:dyDescent="0.3">
      <c r="A59" s="92" t="s">
        <v>239</v>
      </c>
      <c r="B59" s="93">
        <f>+'TABL-AMORT-EMPR_-5ans'!E31</f>
        <v>-5.4327150185902916E-12</v>
      </c>
      <c r="C59" s="93">
        <f>+'TABL-AMORT-EMPR_-5ans'!E32</f>
        <v>-2777.7777777777833</v>
      </c>
      <c r="D59" s="93">
        <f>+'TABL-AMORT-EMPR_-5ans'!E33</f>
        <v>-5555.5555555555611</v>
      </c>
      <c r="E59" s="93">
        <f>+'TABL-AMORT-EMPR_-5ans'!E34</f>
        <v>-8333.3333333333394</v>
      </c>
      <c r="F59" s="93">
        <f>+'TABL-AMORT-EMPR_-5ans'!E35</f>
        <v>-11111.111111111119</v>
      </c>
      <c r="G59" s="93">
        <f>+'TABL-AMORT-EMPR_-5ans'!E36</f>
        <v>-13888.888888888896</v>
      </c>
      <c r="H59" s="93">
        <f>+'TABL-AMORT-EMPR_-5ans'!E37</f>
        <v>-16666.666666666675</v>
      </c>
      <c r="I59" s="93">
        <f>+'TABL-AMORT-EMPR_-5ans'!E38</f>
        <v>-19444.444444444449</v>
      </c>
      <c r="J59" s="93">
        <f>+'TABL-AMORT-EMPR_-5ans'!E39</f>
        <v>-22222.22222222223</v>
      </c>
      <c r="K59" s="93">
        <f>+'TABL-AMORT-EMPR_-5ans'!E40</f>
        <v>-25000.000000000004</v>
      </c>
      <c r="L59" s="93">
        <f>+'TABL-AMORT-EMPR_-5ans'!E41</f>
        <v>-27777.777777777781</v>
      </c>
      <c r="M59" s="93">
        <f>+'TABL-AMORT-EMPR_-5ans'!E42</f>
        <v>-30555.555555555562</v>
      </c>
      <c r="N59" s="68">
        <f>SUM(B59:M59)</f>
        <v>-183333.33333333343</v>
      </c>
    </row>
    <row r="60" spans="1:14" ht="21" x14ac:dyDescent="0.35">
      <c r="A60" s="161" t="s">
        <v>240</v>
      </c>
      <c r="B60" s="116"/>
      <c r="C60" s="116"/>
      <c r="D60" s="116"/>
      <c r="E60" s="116"/>
      <c r="F60" s="116"/>
      <c r="G60" s="116"/>
      <c r="H60" s="120"/>
      <c r="I60" s="120"/>
      <c r="J60" s="120"/>
      <c r="K60" s="120"/>
      <c r="L60" s="120"/>
      <c r="M60" s="120"/>
      <c r="N60" s="120"/>
    </row>
    <row r="61" spans="1:14" ht="18.75" x14ac:dyDescent="0.25">
      <c r="A61" s="281" t="s">
        <v>241</v>
      </c>
      <c r="B61" s="93">
        <f>+'TABL-AMORT-EMPR_-5ans'!D31</f>
        <v>416666.66666666669</v>
      </c>
      <c r="C61" s="93">
        <f>+'TABL-AMORT-EMPR_-5ans'!D32</f>
        <v>416666.66666666669</v>
      </c>
      <c r="D61" s="93">
        <f>+'TABL-AMORT-EMPR_-5ans'!D33</f>
        <v>416666.66666666669</v>
      </c>
      <c r="E61" s="93">
        <f>+'TABL-AMORT-EMPR_-5ans'!D34</f>
        <v>416666.66666666669</v>
      </c>
      <c r="F61" s="93">
        <f>+'TABL-AMORT-EMPR_-5ans'!D35</f>
        <v>416666.66666666669</v>
      </c>
      <c r="G61" s="93">
        <f>+'TABL-AMORT-EMPR_-5ans'!D36</f>
        <v>416666.66666666669</v>
      </c>
      <c r="H61" s="28">
        <f>+'TABL-AMORT-EMPR_-5ans'!D37</f>
        <v>416666.66666666669</v>
      </c>
      <c r="I61" s="28">
        <f>+'TABL-AMORT-EMPR_-5ans'!D38</f>
        <v>416666.66666666669</v>
      </c>
      <c r="J61" s="28">
        <f>+'TABL-AMORT-EMPR_-5ans'!D39</f>
        <v>416666.66666666669</v>
      </c>
      <c r="K61" s="28">
        <f>+'TABL-AMORT-EMPR_-5ans'!D40</f>
        <v>416666.66666666669</v>
      </c>
      <c r="L61" s="28">
        <f>+'TABL-AMORT-EMPR_-5ans'!D41</f>
        <v>416666.66666666669</v>
      </c>
      <c r="M61" s="28">
        <f>+'TABL-AMORT-EMPR_-5ans'!D42</f>
        <v>416666.66666666669</v>
      </c>
      <c r="N61" s="27">
        <f>SUM(B61:M61)</f>
        <v>5000000</v>
      </c>
    </row>
    <row r="62" spans="1:14" ht="18.75" x14ac:dyDescent="0.3">
      <c r="A62" s="92" t="s">
        <v>242</v>
      </c>
      <c r="B62" s="96"/>
      <c r="C62" s="93"/>
      <c r="D62" s="93"/>
      <c r="E62" s="93"/>
      <c r="F62" s="93"/>
      <c r="G62" s="93"/>
      <c r="H62" s="27"/>
      <c r="I62" s="28"/>
      <c r="J62" s="28"/>
      <c r="K62" s="28"/>
      <c r="L62" s="28"/>
      <c r="M62" s="28"/>
      <c r="N62" s="27">
        <f>SUM(B62:M62)</f>
        <v>0</v>
      </c>
    </row>
    <row r="63" spans="1:14" ht="18.75" x14ac:dyDescent="0.3">
      <c r="A63" s="95" t="s">
        <v>212</v>
      </c>
      <c r="B63" s="96">
        <f t="shared" ref="B63:M63" si="9">SUM(B55:B62)</f>
        <v>83532490.163004085</v>
      </c>
      <c r="C63" s="96">
        <f t="shared" si="9"/>
        <v>95997085.909676895</v>
      </c>
      <c r="D63" s="96">
        <f t="shared" si="9"/>
        <v>110331787.68501733</v>
      </c>
      <c r="E63" s="96">
        <f t="shared" si="9"/>
        <v>126817111.39332546</v>
      </c>
      <c r="F63" s="96">
        <f t="shared" si="9"/>
        <v>145775650.32454649</v>
      </c>
      <c r="G63" s="96">
        <f t="shared" si="9"/>
        <v>167578386.7621173</v>
      </c>
      <c r="H63" s="27">
        <f t="shared" si="9"/>
        <v>192651950.33199048</v>
      </c>
      <c r="I63" s="27">
        <f t="shared" si="9"/>
        <v>221486965.10401127</v>
      </c>
      <c r="J63" s="27">
        <f t="shared" si="9"/>
        <v>254647648.75850186</v>
      </c>
      <c r="K63" s="27">
        <f t="shared" si="9"/>
        <v>292782851.62783271</v>
      </c>
      <c r="L63" s="27">
        <f t="shared" si="9"/>
        <v>336638751.59422976</v>
      </c>
      <c r="M63" s="27">
        <f t="shared" si="9"/>
        <v>387073453.22225302</v>
      </c>
      <c r="N63" s="27">
        <f>SUM(B63:M63)</f>
        <v>2415314132.8765063</v>
      </c>
    </row>
    <row r="64" spans="1:14" ht="21" x14ac:dyDescent="0.35">
      <c r="A64" s="101" t="s">
        <v>236</v>
      </c>
      <c r="B64" s="93">
        <f t="shared" ref="B64:M64" si="10">B53-B63</f>
        <v>-1532490.1630040854</v>
      </c>
      <c r="C64" s="93">
        <f t="shared" si="10"/>
        <v>-1697085.9096769094</v>
      </c>
      <c r="D64" s="93">
        <f t="shared" si="10"/>
        <v>-1886787.6850173622</v>
      </c>
      <c r="E64" s="93">
        <f t="shared" si="10"/>
        <v>-2105361.3933255225</v>
      </c>
      <c r="F64" s="93">
        <f t="shared" si="10"/>
        <v>-2357137.8245465457</v>
      </c>
      <c r="G64" s="93">
        <f t="shared" si="10"/>
        <v>-2647097.3871174157</v>
      </c>
      <c r="H64" s="28">
        <f t="shared" si="10"/>
        <v>-2980967.5507406294</v>
      </c>
      <c r="I64" s="28">
        <f t="shared" si="10"/>
        <v>-3365334.9055739045</v>
      </c>
      <c r="J64" s="28">
        <f t="shared" si="10"/>
        <v>-3807774.0302989185</v>
      </c>
      <c r="K64" s="28">
        <f t="shared" si="10"/>
        <v>-4316995.6903994083</v>
      </c>
      <c r="L64" s="28">
        <f t="shared" si="10"/>
        <v>-4903017.2661814094</v>
      </c>
      <c r="M64" s="28">
        <f t="shared" si="10"/>
        <v>-5577358.7449975014</v>
      </c>
      <c r="N64" s="27">
        <f>SUM(B64:M64)</f>
        <v>-37177408.550879613</v>
      </c>
    </row>
    <row r="65" spans="1:14" ht="21" x14ac:dyDescent="0.35">
      <c r="A65" s="161" t="s">
        <v>243</v>
      </c>
      <c r="B65" s="117">
        <f>M43+B64</f>
        <v>-27662605.289393246</v>
      </c>
      <c r="C65" s="117">
        <f>B65+C64</f>
        <v>-29359691.199070156</v>
      </c>
      <c r="D65" s="117">
        <f>C65+D64</f>
        <v>-31246478.884087518</v>
      </c>
      <c r="E65" s="117">
        <f t="shared" ref="E65:M65" si="11">+D65+E64</f>
        <v>-33351840.27741304</v>
      </c>
      <c r="F65" s="117">
        <f t="shared" si="11"/>
        <v>-35708978.101959586</v>
      </c>
      <c r="G65" s="118">
        <f t="shared" si="11"/>
        <v>-38356075.489077002</v>
      </c>
      <c r="H65" s="118">
        <f t="shared" si="11"/>
        <v>-41337043.039817631</v>
      </c>
      <c r="I65" s="118">
        <f t="shared" si="11"/>
        <v>-44702377.945391536</v>
      </c>
      <c r="J65" s="118">
        <f t="shared" si="11"/>
        <v>-48510151.975690454</v>
      </c>
      <c r="K65" s="118">
        <f t="shared" si="11"/>
        <v>-52827147.666089863</v>
      </c>
      <c r="L65" s="118">
        <f t="shared" si="11"/>
        <v>-57730164.932271272</v>
      </c>
      <c r="M65" s="118">
        <f t="shared" si="11"/>
        <v>-63307523.677268773</v>
      </c>
      <c r="N65" s="120"/>
    </row>
    <row r="67" spans="1:14" ht="21" x14ac:dyDescent="0.35">
      <c r="A67" s="412" t="s">
        <v>249</v>
      </c>
      <c r="B67" s="412"/>
      <c r="C67" s="412"/>
      <c r="D67" s="412"/>
      <c r="E67" s="412"/>
      <c r="F67" s="412"/>
      <c r="G67" s="412"/>
    </row>
    <row r="68" spans="1:14" ht="18.75" x14ac:dyDescent="0.3">
      <c r="A68" s="98"/>
      <c r="B68" s="98"/>
      <c r="C68" s="98"/>
      <c r="D68" s="98"/>
      <c r="E68" s="98"/>
      <c r="F68" s="98"/>
      <c r="G68" s="160" t="s">
        <v>250</v>
      </c>
      <c r="H68" s="282">
        <f>+BASE_INFORMATION!D14</f>
        <v>2029</v>
      </c>
    </row>
    <row r="69" spans="1:14" x14ac:dyDescent="0.25">
      <c r="A69" s="98"/>
      <c r="B69" s="98"/>
      <c r="C69" s="98"/>
      <c r="D69" s="98"/>
      <c r="E69" s="98"/>
      <c r="F69" s="98"/>
      <c r="G69" s="98"/>
    </row>
    <row r="70" spans="1:14" ht="15.75" x14ac:dyDescent="0.25">
      <c r="A70" s="6"/>
      <c r="B70" s="6" t="s">
        <v>161</v>
      </c>
      <c r="C70" s="6" t="s">
        <v>162</v>
      </c>
      <c r="D70" s="6" t="s">
        <v>163</v>
      </c>
      <c r="E70" s="6" t="s">
        <v>178</v>
      </c>
      <c r="F70" s="6" t="s">
        <v>165</v>
      </c>
      <c r="G70" s="6" t="s">
        <v>166</v>
      </c>
      <c r="H70" s="6" t="s">
        <v>169</v>
      </c>
      <c r="I70" s="6" t="s">
        <v>170</v>
      </c>
      <c r="J70" s="6" t="s">
        <v>171</v>
      </c>
      <c r="K70" s="6" t="s">
        <v>172</v>
      </c>
      <c r="L70" s="6" t="s">
        <v>173</v>
      </c>
      <c r="M70" s="6" t="s">
        <v>174</v>
      </c>
      <c r="N70" s="6" t="s">
        <v>24</v>
      </c>
    </row>
    <row r="71" spans="1:14" ht="21" x14ac:dyDescent="0.35">
      <c r="A71" s="158" t="s">
        <v>236</v>
      </c>
      <c r="B71" s="99"/>
      <c r="C71" s="99"/>
      <c r="D71" s="99"/>
      <c r="E71" s="99"/>
      <c r="F71" s="99"/>
      <c r="G71" s="99"/>
      <c r="H71" s="6"/>
      <c r="I71" s="6"/>
      <c r="J71" s="6"/>
      <c r="K71" s="6"/>
      <c r="L71" s="6"/>
      <c r="M71" s="6"/>
      <c r="N71" s="6"/>
    </row>
    <row r="72" spans="1:14" ht="21" x14ac:dyDescent="0.35">
      <c r="A72" s="454" t="s">
        <v>205</v>
      </c>
      <c r="B72" s="454"/>
      <c r="C72" s="454"/>
      <c r="D72" s="454"/>
      <c r="E72" s="454"/>
      <c r="F72" s="454"/>
      <c r="G72" s="454"/>
      <c r="H72" s="279"/>
      <c r="I72" s="279"/>
      <c r="J72" s="279"/>
      <c r="K72" s="279"/>
      <c r="L72" s="279"/>
      <c r="M72" s="279"/>
      <c r="N72" s="279"/>
    </row>
    <row r="73" spans="1:14" ht="18.75" x14ac:dyDescent="0.3">
      <c r="A73" s="92" t="s">
        <v>206</v>
      </c>
      <c r="B73" s="93">
        <f>+'Detail_Chiffr d''affair-Previsl'!B46</f>
        <v>383000000</v>
      </c>
      <c r="C73" s="93">
        <f>+'Detail_Chiffr d''affair-Previsl'!C46</f>
        <v>440450000</v>
      </c>
      <c r="D73" s="93">
        <f>+'Detail_Chiffr d''affair-Previsl'!D46</f>
        <v>506517499.99999994</v>
      </c>
      <c r="E73" s="93">
        <f>+'Detail_Chiffr d''affair-Previsl'!E46</f>
        <v>582495124.99999988</v>
      </c>
      <c r="F73" s="93">
        <f>+'Detail_Chiffr d''affair-Previsl'!F46</f>
        <v>669869393.74999976</v>
      </c>
      <c r="G73" s="93">
        <f>+'Detail_Chiffr d''affair-Previsl'!G46</f>
        <v>770349802.81249976</v>
      </c>
      <c r="H73" s="93">
        <f>+'Detail_Chiffr d''affair-Previsl'!H46</f>
        <v>885902273.2343744</v>
      </c>
      <c r="I73" s="93">
        <f>+'Detail_Chiffr d''affair-Previsl'!I46</f>
        <v>1018787614.2195306</v>
      </c>
      <c r="J73" s="93">
        <f>+'Detail_Chiffr d''affair-Previsl'!J46</f>
        <v>1171605756.3524601</v>
      </c>
      <c r="K73" s="93">
        <f>+'Detail_Chiffr d''affair-Previsl'!K46</f>
        <v>1347346619.8053288</v>
      </c>
      <c r="L73" s="93">
        <f>+'Detail_Chiffr d''affair-Previsl'!L46</f>
        <v>1549448612.7761283</v>
      </c>
      <c r="M73" s="93">
        <f>+'Detail_Chiffr d''affair-Previsl'!M46</f>
        <v>1781865904.6925473</v>
      </c>
      <c r="N73" s="27">
        <f>SUM(B73:M73)</f>
        <v>11107638602.64287</v>
      </c>
    </row>
    <row r="74" spans="1:14" ht="18.75" x14ac:dyDescent="0.3">
      <c r="A74" s="92" t="s">
        <v>237</v>
      </c>
      <c r="B74" s="96"/>
      <c r="C74" s="93"/>
      <c r="D74" s="93"/>
      <c r="E74" s="93"/>
      <c r="F74" s="93"/>
      <c r="G74" s="93"/>
      <c r="H74" s="27"/>
      <c r="I74" s="28"/>
      <c r="J74" s="28"/>
      <c r="K74" s="28"/>
      <c r="L74" s="28"/>
      <c r="M74" s="28"/>
      <c r="N74" s="27"/>
    </row>
    <row r="75" spans="1:14" ht="21" x14ac:dyDescent="0.35">
      <c r="A75" s="101" t="s">
        <v>251</v>
      </c>
      <c r="B75" s="96">
        <f>+B73+B74</f>
        <v>383000000</v>
      </c>
      <c r="C75" s="96">
        <f>+C73</f>
        <v>440450000</v>
      </c>
      <c r="D75" s="96">
        <f>+D73</f>
        <v>506517499.99999994</v>
      </c>
      <c r="E75" s="96">
        <f t="shared" ref="E75:M75" si="12">E73</f>
        <v>582495124.99999988</v>
      </c>
      <c r="F75" s="96">
        <f t="shared" si="12"/>
        <v>669869393.74999976</v>
      </c>
      <c r="G75" s="96">
        <f t="shared" si="12"/>
        <v>770349802.81249976</v>
      </c>
      <c r="H75" s="96">
        <f t="shared" si="12"/>
        <v>885902273.2343744</v>
      </c>
      <c r="I75" s="96">
        <f t="shared" si="12"/>
        <v>1018787614.2195306</v>
      </c>
      <c r="J75" s="96">
        <f t="shared" si="12"/>
        <v>1171605756.3524601</v>
      </c>
      <c r="K75" s="96">
        <f t="shared" si="12"/>
        <v>1347346619.8053288</v>
      </c>
      <c r="L75" s="96">
        <f t="shared" si="12"/>
        <v>1549448612.7761283</v>
      </c>
      <c r="M75" s="96">
        <f t="shared" si="12"/>
        <v>1781865904.6925473</v>
      </c>
      <c r="N75" s="27">
        <f>SUM(B75:M75)</f>
        <v>11107638602.64287</v>
      </c>
    </row>
    <row r="76" spans="1:14" ht="21" x14ac:dyDescent="0.35">
      <c r="A76" s="455" t="s">
        <v>207</v>
      </c>
      <c r="B76" s="455"/>
      <c r="C76" s="455"/>
      <c r="D76" s="455"/>
      <c r="E76" s="455"/>
      <c r="F76" s="455"/>
      <c r="G76" s="455"/>
      <c r="H76" s="280"/>
      <c r="I76" s="280"/>
      <c r="J76" s="280"/>
      <c r="K76" s="280"/>
      <c r="L76" s="280"/>
      <c r="M76" s="280"/>
      <c r="N76" s="280"/>
    </row>
    <row r="77" spans="1:14" ht="18.75" x14ac:dyDescent="0.3">
      <c r="A77" s="92" t="s">
        <v>208</v>
      </c>
      <c r="B77" s="93">
        <f>+'Detail charge d''exploit_previsl'!B107</f>
        <v>54377907.484379329</v>
      </c>
      <c r="C77" s="93">
        <f>+'Detail charge d''exploit_previsl'!C107</f>
        <v>62534593.607036218</v>
      </c>
      <c r="D77" s="93">
        <f>+'Detail charge d''exploit_previsl'!D107</f>
        <v>71914782.648091644</v>
      </c>
      <c r="E77" s="93">
        <f>+'Detail charge d''exploit_previsl'!E107</f>
        <v>82702000.045305386</v>
      </c>
      <c r="F77" s="93">
        <f>+'Detail charge d''exploit_previsl'!F107</f>
        <v>95107300.052101195</v>
      </c>
      <c r="G77" s="93">
        <f>+'Detail charge d''exploit_previsl'!G107</f>
        <v>109373395.05991638</v>
      </c>
      <c r="H77" s="93">
        <f>+'Detail charge d''exploit_previsl'!H107</f>
        <v>125779404.31890382</v>
      </c>
      <c r="I77" s="93">
        <f>+'Detail charge d''exploit_previsl'!I107</f>
        <v>144646314.96673939</v>
      </c>
      <c r="J77" s="93">
        <f>+'Detail charge d''exploit_previsl'!J107</f>
        <v>166343262.21175027</v>
      </c>
      <c r="K77" s="93">
        <f>+'Detail charge d''exploit_previsl'!K107</f>
        <v>191294751.54351282</v>
      </c>
      <c r="L77" s="93">
        <f>+'Detail charge d''exploit_previsl'!L107</f>
        <v>219988964.2750397</v>
      </c>
      <c r="M77" s="93">
        <f>+'Detail charge d''exploit_previsl'!M107</f>
        <v>252987308.91629565</v>
      </c>
      <c r="N77" s="68">
        <f>SUM(B77:M77)</f>
        <v>1577049985.1290717</v>
      </c>
    </row>
    <row r="78" spans="1:14" ht="18.75" x14ac:dyDescent="0.3">
      <c r="A78" s="92" t="s">
        <v>209</v>
      </c>
      <c r="B78" s="93">
        <f>+'Detail charge d''exploit_previsl'!B113</f>
        <v>98585132.272606224</v>
      </c>
      <c r="C78" s="286">
        <f>+'Detail charge d''exploit_previsl'!C113</f>
        <v>113372902.11349715</v>
      </c>
      <c r="D78" s="286">
        <f>+'Detail charge d''exploit_previsl'!D113</f>
        <v>130378837.4305217</v>
      </c>
      <c r="E78" s="286">
        <f>+'Detail charge d''exploit_previsl'!E113</f>
        <v>149935663.04509994</v>
      </c>
      <c r="F78" s="286">
        <f>+'Detail charge d''exploit_previsl'!F113</f>
        <v>172426012.50186491</v>
      </c>
      <c r="G78" s="286">
        <f>+'Detail charge d''exploit_previsl'!G113</f>
        <v>198289914.37714466</v>
      </c>
      <c r="H78" s="286">
        <f>+'Detail charge d''exploit_previsl'!H113</f>
        <v>228033401.53371632</v>
      </c>
      <c r="I78" s="286">
        <f>+'Detail charge d''exploit_previsl'!I113</f>
        <v>262238411.76377377</v>
      </c>
      <c r="J78" s="286">
        <f>+'Detail charge d''exploit_previsl'!J113</f>
        <v>301574173.52833986</v>
      </c>
      <c r="K78" s="286">
        <f>+'Detail charge d''exploit_previsl'!K113</f>
        <v>346810299.55759078</v>
      </c>
      <c r="L78" s="286">
        <f>+'Detail charge d''exploit_previsl'!L113</f>
        <v>398831844.49122936</v>
      </c>
      <c r="M78" s="286">
        <f>+'Detail charge d''exploit_previsl'!M113</f>
        <v>458656621.16491371</v>
      </c>
      <c r="N78" s="68">
        <f>SUM(B78:M78)</f>
        <v>2859133213.7802982</v>
      </c>
    </row>
    <row r="79" spans="1:14" ht="18.75" x14ac:dyDescent="0.3">
      <c r="A79" s="92" t="s">
        <v>210</v>
      </c>
      <c r="B79" s="284">
        <f>+'Detail charge d''exploit_previsl'!B118</f>
        <v>217209530.45149305</v>
      </c>
      <c r="C79" s="287">
        <f>+'Detail charge d''exploit_previsl'!C118</f>
        <v>249790960.01921698</v>
      </c>
      <c r="D79" s="287">
        <f>+'Detail charge d''exploit_previsl'!D118</f>
        <v>287259604.02209949</v>
      </c>
      <c r="E79" s="287">
        <f>+'Detail charge d''exploit_previsl'!E118</f>
        <v>330348544.62541443</v>
      </c>
      <c r="F79" s="287">
        <f>+'Detail charge d''exploit_previsl'!F118</f>
        <v>379900826.31922656</v>
      </c>
      <c r="G79" s="287">
        <f>+'Detail charge d''exploit_previsl'!G118</f>
        <v>436885950.26711047</v>
      </c>
      <c r="H79" s="287">
        <f>+'Detail charge d''exploit_previsl'!H118</f>
        <v>502418842.80717701</v>
      </c>
      <c r="I79" s="287">
        <f>+'Detail charge d''exploit_previsl'!I118</f>
        <v>577781669.22825348</v>
      </c>
      <c r="J79" s="287">
        <f>+'Detail charge d''exploit_previsl'!J118</f>
        <v>664448919.61249149</v>
      </c>
      <c r="K79" s="287">
        <f>+'Detail charge d''exploit_previsl'!K118</f>
        <v>764116257.55436504</v>
      </c>
      <c r="L79" s="287">
        <f>+'Detail charge d''exploit_previsl'!L118</f>
        <v>878733696.18751979</v>
      </c>
      <c r="M79" s="287">
        <f>+'Detail charge d''exploit_previsl'!M118</f>
        <v>1010543750.6156477</v>
      </c>
      <c r="N79" s="285">
        <f>SUM(B79:M79)</f>
        <v>6299438551.7100153</v>
      </c>
    </row>
    <row r="80" spans="1:14" ht="18.75" x14ac:dyDescent="0.3">
      <c r="A80" s="92" t="s">
        <v>211</v>
      </c>
      <c r="B80" s="93">
        <f>+'Detail charge d''exploit_previsl'!B122</f>
        <v>16514771.902663346</v>
      </c>
      <c r="C80" s="93">
        <f>+'Detail charge d''exploit_previsl'!C122</f>
        <v>18991987.688062847</v>
      </c>
      <c r="D80" s="93">
        <f>+'Detail charge d''exploit_previsl'!D122</f>
        <v>21840785.841272272</v>
      </c>
      <c r="E80" s="93">
        <f>+'Detail charge d''exploit_previsl'!E122</f>
        <v>25116903.717463113</v>
      </c>
      <c r="F80" s="93">
        <f>+'Detail charge d''exploit_previsl'!F122</f>
        <v>28884439.275082581</v>
      </c>
      <c r="G80" s="93">
        <f>+'Detail charge d''exploit_previsl'!G122</f>
        <v>33217105.166344963</v>
      </c>
      <c r="H80" s="93">
        <f>+'Detail charge d''exploit_previsl'!H122</f>
        <v>38199670.941296704</v>
      </c>
      <c r="I80" s="93">
        <f>+'Detail charge d''exploit_previsl'!I122</f>
        <v>43929621.582491204</v>
      </c>
      <c r="J80" s="93">
        <f>+'Detail charge d''exploit_previsl'!J122</f>
        <v>50519064.819864884</v>
      </c>
      <c r="K80" s="93">
        <f>+'Detail charge d''exploit_previsl'!K122</f>
        <v>58096924.542844616</v>
      </c>
      <c r="L80" s="93">
        <f>+'Detail charge d''exploit_previsl'!L122</f>
        <v>66811463.224271305</v>
      </c>
      <c r="M80" s="93">
        <f>+'Detail charge d''exploit_previsl'!M122</f>
        <v>76833182.707911998</v>
      </c>
      <c r="N80" s="68">
        <f>SUM(B80:M80)</f>
        <v>478955921.40956974</v>
      </c>
    </row>
    <row r="81" spans="1:14" ht="18.75" x14ac:dyDescent="0.3">
      <c r="A81" s="92" t="s">
        <v>239</v>
      </c>
      <c r="B81" s="93">
        <f>+'TABL-AMORT-EMPR_-5ans'!E44</f>
        <v>-33333.333333333336</v>
      </c>
      <c r="C81" s="93">
        <f>+'TABL-AMORT-EMPR_-5ans'!E45</f>
        <v>-36111.111111111117</v>
      </c>
      <c r="D81" s="93">
        <f>+'TABL-AMORT-EMPR_-5ans'!E46</f>
        <v>-38888.888888888898</v>
      </c>
      <c r="E81" s="93">
        <f>+'TABL-AMORT-EMPR_-5ans'!E47</f>
        <v>-41666.666666666679</v>
      </c>
      <c r="F81" s="93">
        <f>+'TABL-AMORT-EMPR_-5ans'!E48</f>
        <v>-44444.44444444446</v>
      </c>
      <c r="G81" s="93">
        <f>+'TABL-AMORT-EMPR_-5ans'!E49</f>
        <v>-47222.222222222241</v>
      </c>
      <c r="H81" s="93">
        <f>+'TABL-AMORT-EMPR_-5ans'!E50</f>
        <v>-50000.000000000022</v>
      </c>
      <c r="I81" s="93">
        <f>+'TABL-AMORT-EMPR_-5ans'!E51</f>
        <v>-52777.777777777803</v>
      </c>
      <c r="J81" s="93">
        <f>+'TABL-AMORT-EMPR_-5ans'!E52</f>
        <v>-55555.555555555584</v>
      </c>
      <c r="K81" s="93">
        <f>+'TABL-AMORT-EMPR_-5ans'!E53</f>
        <v>-58333.333333333365</v>
      </c>
      <c r="L81" s="93">
        <f>+'TABL-AMORT-EMPR_-5ans'!E54</f>
        <v>-61111.111111111131</v>
      </c>
      <c r="M81" s="93">
        <f>+'TABL-AMORT-EMPR_-5ans'!E55</f>
        <v>-63888.888888888905</v>
      </c>
      <c r="N81" s="68">
        <f>SUM(B81:M81)</f>
        <v>-583333.33333333349</v>
      </c>
    </row>
    <row r="82" spans="1:14" ht="21" x14ac:dyDescent="0.35">
      <c r="A82" s="161" t="s">
        <v>240</v>
      </c>
      <c r="B82" s="116"/>
      <c r="C82" s="116"/>
      <c r="D82" s="116"/>
      <c r="E82" s="116"/>
      <c r="F82" s="116"/>
      <c r="G82" s="116"/>
      <c r="H82" s="120"/>
      <c r="I82" s="120"/>
      <c r="J82" s="120"/>
      <c r="K82" s="120"/>
      <c r="L82" s="120"/>
      <c r="M82" s="120"/>
      <c r="N82" s="120"/>
    </row>
    <row r="83" spans="1:14" ht="18.75" x14ac:dyDescent="0.25">
      <c r="A83" s="281" t="s">
        <v>241</v>
      </c>
      <c r="B83" s="93">
        <f>+'TABL-AMORT-EMPR_-5ans'!D44</f>
        <v>416666.66666666669</v>
      </c>
      <c r="C83" s="93">
        <f>+'TABL-AMORT-EMPR_-5ans'!D45</f>
        <v>416666.66666666669</v>
      </c>
      <c r="D83" s="93">
        <f>+'TABL-AMORT-EMPR_-5ans'!D46</f>
        <v>416666.66666666669</v>
      </c>
      <c r="E83" s="93">
        <f>+'TABL-AMORT-EMPR_-5ans'!D47</f>
        <v>416666.66666666669</v>
      </c>
      <c r="F83" s="93">
        <f>+'TABL-AMORT-EMPR_-5ans'!D48</f>
        <v>416666.66666666669</v>
      </c>
      <c r="G83" s="93">
        <f>+'TABL-AMORT-EMPR_-5ans'!D49</f>
        <v>416666.66666666669</v>
      </c>
      <c r="H83" s="28">
        <f>+'TABL-AMORT-EMPR_-5ans'!D50</f>
        <v>416666.66666666669</v>
      </c>
      <c r="I83" s="28">
        <f>+'TABL-AMORT-EMPR_-5ans'!D51</f>
        <v>416666.66666666669</v>
      </c>
      <c r="J83" s="28">
        <f>+'TABL-AMORT-EMPR_-5ans'!D52</f>
        <v>416666.66666666669</v>
      </c>
      <c r="K83" s="28">
        <f>+'TABL-AMORT-EMPR_-5ans'!D53</f>
        <v>416666.66666666669</v>
      </c>
      <c r="L83" s="28">
        <f>+'TABL-AMORT-EMPR_-5ans'!D54</f>
        <v>416666.66666666669</v>
      </c>
      <c r="M83" s="28">
        <f>+'TABL-AMORT-EMPR_-5ans'!D55</f>
        <v>416666.66666666669</v>
      </c>
      <c r="N83" s="28">
        <f>SUM(B83:M83)</f>
        <v>5000000</v>
      </c>
    </row>
    <row r="84" spans="1:14" ht="18.75" x14ac:dyDescent="0.3">
      <c r="A84" s="92" t="s">
        <v>242</v>
      </c>
      <c r="B84" s="96"/>
      <c r="C84" s="93"/>
      <c r="D84" s="93"/>
      <c r="E84" s="93"/>
      <c r="F84" s="93"/>
      <c r="G84" s="93"/>
      <c r="H84" s="27"/>
      <c r="I84" s="28"/>
      <c r="J84" s="28"/>
      <c r="K84" s="28"/>
      <c r="L84" s="28"/>
      <c r="M84" s="28"/>
      <c r="N84" s="28">
        <f>SUM(B84:M84)</f>
        <v>0</v>
      </c>
    </row>
    <row r="85" spans="1:14" ht="18.75" x14ac:dyDescent="0.3">
      <c r="A85" s="95" t="s">
        <v>212</v>
      </c>
      <c r="B85" s="96">
        <f t="shared" ref="B85:M85" si="13">SUM(B77:B84)</f>
        <v>387070675.44447529</v>
      </c>
      <c r="C85" s="96">
        <f t="shared" si="13"/>
        <v>445070998.98336881</v>
      </c>
      <c r="D85" s="96">
        <f t="shared" si="13"/>
        <v>511771787.71976292</v>
      </c>
      <c r="E85" s="96">
        <f t="shared" si="13"/>
        <v>588478111.43328297</v>
      </c>
      <c r="F85" s="96">
        <f t="shared" si="13"/>
        <v>676690800.37049747</v>
      </c>
      <c r="G85" s="96">
        <f t="shared" si="13"/>
        <v>778135809.31496096</v>
      </c>
      <c r="H85" s="27">
        <f t="shared" si="13"/>
        <v>894797986.26776052</v>
      </c>
      <c r="I85" s="27">
        <f t="shared" si="13"/>
        <v>1028959906.4301467</v>
      </c>
      <c r="J85" s="27">
        <f t="shared" si="13"/>
        <v>1183246531.2835577</v>
      </c>
      <c r="K85" s="27">
        <f t="shared" si="13"/>
        <v>1360676566.5316465</v>
      </c>
      <c r="L85" s="27">
        <f t="shared" si="13"/>
        <v>1564721523.7336156</v>
      </c>
      <c r="M85" s="27">
        <f t="shared" si="13"/>
        <v>1799373641.1825469</v>
      </c>
      <c r="N85" s="28">
        <f>SUM(B85:M85)</f>
        <v>11218994338.695623</v>
      </c>
    </row>
    <row r="86" spans="1:14" ht="21" x14ac:dyDescent="0.35">
      <c r="A86" s="101" t="s">
        <v>236</v>
      </c>
      <c r="B86" s="93">
        <f t="shared" ref="B86:M86" si="14">B75-B85</f>
        <v>-4070675.4444752932</v>
      </c>
      <c r="C86" s="93">
        <f t="shared" si="14"/>
        <v>-4620998.983368814</v>
      </c>
      <c r="D86" s="93">
        <f t="shared" si="14"/>
        <v>-5254287.7197629809</v>
      </c>
      <c r="E86" s="93">
        <f t="shared" si="14"/>
        <v>-5982986.4332830906</v>
      </c>
      <c r="F86" s="93">
        <f t="shared" si="14"/>
        <v>-6821406.6204977036</v>
      </c>
      <c r="G86" s="93">
        <f t="shared" si="14"/>
        <v>-7786006.502461195</v>
      </c>
      <c r="H86" s="28">
        <f t="shared" si="14"/>
        <v>-8895713.0333861113</v>
      </c>
      <c r="I86" s="28">
        <f t="shared" si="14"/>
        <v>-10172292.210616112</v>
      </c>
      <c r="J86" s="28">
        <f t="shared" si="14"/>
        <v>-11640774.931097507</v>
      </c>
      <c r="K86" s="28">
        <f t="shared" si="14"/>
        <v>-13329946.726317644</v>
      </c>
      <c r="L86" s="28">
        <f t="shared" si="14"/>
        <v>-15272910.957487345</v>
      </c>
      <c r="M86" s="28">
        <f t="shared" si="14"/>
        <v>-17507736.489999533</v>
      </c>
      <c r="N86" s="28">
        <f>SUM(B86:M86)</f>
        <v>-111355736.05275333</v>
      </c>
    </row>
    <row r="87" spans="1:14" ht="21" x14ac:dyDescent="0.35">
      <c r="A87" s="161" t="s">
        <v>243</v>
      </c>
      <c r="B87" s="117">
        <f>M65+B86</f>
        <v>-67378199.121744066</v>
      </c>
      <c r="C87" s="117">
        <f>B87+C86</f>
        <v>-71999198.10511288</v>
      </c>
      <c r="D87" s="117">
        <f>C87+D86</f>
        <v>-77253485.824875861</v>
      </c>
      <c r="E87" s="117">
        <f t="shared" ref="E87:M87" si="15">+D87+E86</f>
        <v>-83236472.258158952</v>
      </c>
      <c r="F87" s="117">
        <f t="shared" si="15"/>
        <v>-90057878.878656656</v>
      </c>
      <c r="G87" s="118">
        <f t="shared" si="15"/>
        <v>-97843885.381117851</v>
      </c>
      <c r="H87" s="118">
        <f t="shared" si="15"/>
        <v>-106739598.41450396</v>
      </c>
      <c r="I87" s="118">
        <f t="shared" si="15"/>
        <v>-116911890.62512007</v>
      </c>
      <c r="J87" s="118">
        <f t="shared" si="15"/>
        <v>-128552665.55621758</v>
      </c>
      <c r="K87" s="118">
        <f t="shared" si="15"/>
        <v>-141882612.28253523</v>
      </c>
      <c r="L87" s="118">
        <f t="shared" si="15"/>
        <v>-157155523.24002257</v>
      </c>
      <c r="M87" s="118">
        <f t="shared" si="15"/>
        <v>-174663259.7300221</v>
      </c>
      <c r="N87" s="120"/>
    </row>
    <row r="89" spans="1:14" ht="21" x14ac:dyDescent="0.35">
      <c r="A89" s="412" t="s">
        <v>249</v>
      </c>
      <c r="B89" s="412"/>
      <c r="C89" s="412"/>
      <c r="D89" s="412"/>
      <c r="E89" s="412"/>
      <c r="F89" s="412"/>
      <c r="G89" s="412"/>
    </row>
    <row r="90" spans="1:14" ht="18.75" x14ac:dyDescent="0.3">
      <c r="A90" s="98"/>
      <c r="B90" s="98"/>
      <c r="C90" s="98"/>
      <c r="D90" s="98"/>
      <c r="E90" s="98"/>
      <c r="F90" s="98"/>
      <c r="G90" s="160" t="s">
        <v>250</v>
      </c>
      <c r="H90" s="283">
        <f>+BASE_INFORMATION!E14</f>
        <v>2030</v>
      </c>
    </row>
    <row r="91" spans="1:14" x14ac:dyDescent="0.25">
      <c r="A91" s="98"/>
      <c r="B91" s="98"/>
      <c r="C91" s="98"/>
      <c r="D91" s="98"/>
      <c r="E91" s="98"/>
      <c r="F91" s="98"/>
      <c r="G91" s="98"/>
    </row>
    <row r="92" spans="1:14" ht="15.75" x14ac:dyDescent="0.25">
      <c r="A92" s="6"/>
      <c r="B92" s="6" t="s">
        <v>161</v>
      </c>
      <c r="C92" s="6" t="s">
        <v>162</v>
      </c>
      <c r="D92" s="6" t="s">
        <v>163</v>
      </c>
      <c r="E92" s="6" t="s">
        <v>178</v>
      </c>
      <c r="F92" s="6" t="s">
        <v>165</v>
      </c>
      <c r="G92" s="6" t="s">
        <v>166</v>
      </c>
      <c r="H92" s="6" t="s">
        <v>169</v>
      </c>
      <c r="I92" s="6" t="s">
        <v>170</v>
      </c>
      <c r="J92" s="6" t="s">
        <v>171</v>
      </c>
      <c r="K92" s="6" t="s">
        <v>172</v>
      </c>
      <c r="L92" s="6" t="s">
        <v>173</v>
      </c>
      <c r="M92" s="6" t="s">
        <v>174</v>
      </c>
      <c r="N92" s="6" t="s">
        <v>24</v>
      </c>
    </row>
    <row r="93" spans="1:14" ht="21" x14ac:dyDescent="0.35">
      <c r="A93" s="158" t="s">
        <v>236</v>
      </c>
      <c r="B93" s="99"/>
      <c r="C93" s="99"/>
      <c r="D93" s="99"/>
      <c r="E93" s="99"/>
      <c r="F93" s="99"/>
      <c r="G93" s="99"/>
      <c r="H93" s="6"/>
      <c r="I93" s="6"/>
      <c r="J93" s="6"/>
      <c r="K93" s="6"/>
      <c r="L93" s="6"/>
      <c r="M93" s="6"/>
      <c r="N93" s="6"/>
    </row>
    <row r="94" spans="1:14" ht="21" x14ac:dyDescent="0.35">
      <c r="A94" s="454" t="s">
        <v>205</v>
      </c>
      <c r="B94" s="454"/>
      <c r="C94" s="454"/>
      <c r="D94" s="454"/>
      <c r="E94" s="454"/>
      <c r="F94" s="454"/>
      <c r="G94" s="454"/>
      <c r="H94" s="279"/>
      <c r="I94" s="279"/>
      <c r="J94" s="279"/>
      <c r="K94" s="279"/>
      <c r="L94" s="279"/>
      <c r="M94" s="279"/>
      <c r="N94" s="279"/>
    </row>
    <row r="95" spans="1:14" ht="18.75" x14ac:dyDescent="0.3">
      <c r="A95" s="92" t="s">
        <v>206</v>
      </c>
      <c r="B95" s="93">
        <f>+'Detail_Chiffr d''affair-Previsl'!B58</f>
        <v>1784000000</v>
      </c>
      <c r="C95" s="93">
        <f>+'Detail_Chiffr d''affair-Previsl'!C58</f>
        <v>2051600000</v>
      </c>
      <c r="D95" s="93">
        <f>+'Detail_Chiffr d''affair-Previsl'!D58</f>
        <v>2359340000</v>
      </c>
      <c r="E95" s="93">
        <f>+'Detail_Chiffr d''affair-Previsl'!E58</f>
        <v>2713241000</v>
      </c>
      <c r="F95" s="93">
        <f>+'Detail_Chiffr d''affair-Previsl'!F58</f>
        <v>3120227149.9999995</v>
      </c>
      <c r="G95" s="93">
        <f>+'Detail_Chiffr d''affair-Previsl'!G58</f>
        <v>3588261222.499999</v>
      </c>
      <c r="H95" s="93">
        <f>+'Detail_Chiffr d''affair-Previsl'!H58</f>
        <v>4126500405.8749981</v>
      </c>
      <c r="I95" s="93">
        <f>+'Detail_Chiffr d''affair-Previsl'!I58</f>
        <v>4745475466.7562475</v>
      </c>
      <c r="J95" s="93">
        <f>+'Detail_Chiffr d''affair-Previsl'!J58</f>
        <v>5457296786.7696848</v>
      </c>
      <c r="K95" s="93">
        <f>+'Detail_Chiffr d''affair-Previsl'!K58</f>
        <v>6275891304.7851362</v>
      </c>
      <c r="L95" s="93">
        <f>+'Detail_Chiffr d''affair-Previsl'!L58</f>
        <v>7217275000.5029068</v>
      </c>
      <c r="M95" s="93">
        <f>+'Detail_Chiffr d''affair-Previsl'!M58</f>
        <v>8299866250.5783424</v>
      </c>
      <c r="N95" s="27">
        <f>SUM(B95:M95)</f>
        <v>51738974587.767319</v>
      </c>
    </row>
    <row r="96" spans="1:14" ht="18.75" x14ac:dyDescent="0.3">
      <c r="A96" s="92" t="s">
        <v>237</v>
      </c>
      <c r="B96" s="96"/>
      <c r="C96" s="93"/>
      <c r="D96" s="93"/>
      <c r="E96" s="93"/>
      <c r="F96" s="93"/>
      <c r="G96" s="93"/>
      <c r="H96" s="27"/>
      <c r="I96" s="28"/>
      <c r="J96" s="28"/>
      <c r="K96" s="28"/>
      <c r="L96" s="28"/>
      <c r="M96" s="28"/>
      <c r="N96" s="27"/>
    </row>
    <row r="97" spans="1:14" ht="21" x14ac:dyDescent="0.35">
      <c r="A97" s="101" t="s">
        <v>251</v>
      </c>
      <c r="B97" s="96">
        <f>+B95+B96</f>
        <v>1784000000</v>
      </c>
      <c r="C97" s="96">
        <f>+C95</f>
        <v>2051600000</v>
      </c>
      <c r="D97" s="96">
        <f>+D95</f>
        <v>2359340000</v>
      </c>
      <c r="E97" s="96">
        <f t="shared" ref="E97:M97" si="16">E95</f>
        <v>2713241000</v>
      </c>
      <c r="F97" s="96">
        <f t="shared" si="16"/>
        <v>3120227149.9999995</v>
      </c>
      <c r="G97" s="96">
        <f t="shared" si="16"/>
        <v>3588261222.499999</v>
      </c>
      <c r="H97" s="96">
        <f t="shared" si="16"/>
        <v>4126500405.8749981</v>
      </c>
      <c r="I97" s="96">
        <f t="shared" si="16"/>
        <v>4745475466.7562475</v>
      </c>
      <c r="J97" s="96">
        <f t="shared" si="16"/>
        <v>5457296786.7696848</v>
      </c>
      <c r="K97" s="96">
        <f t="shared" si="16"/>
        <v>6275891304.7851362</v>
      </c>
      <c r="L97" s="96">
        <f t="shared" si="16"/>
        <v>7217275000.5029068</v>
      </c>
      <c r="M97" s="96">
        <f t="shared" si="16"/>
        <v>8299866250.5783424</v>
      </c>
      <c r="N97" s="27">
        <f>SUM(B97:M97)</f>
        <v>51738974587.767319</v>
      </c>
    </row>
    <row r="98" spans="1:14" ht="21" x14ac:dyDescent="0.35">
      <c r="A98" s="455" t="s">
        <v>207</v>
      </c>
      <c r="B98" s="455"/>
      <c r="C98" s="455"/>
      <c r="D98" s="455"/>
      <c r="E98" s="455"/>
      <c r="F98" s="455"/>
      <c r="G98" s="455"/>
      <c r="H98" s="280"/>
      <c r="I98" s="280"/>
      <c r="J98" s="280"/>
      <c r="K98" s="280"/>
      <c r="L98" s="280"/>
      <c r="M98" s="280"/>
      <c r="N98" s="280"/>
    </row>
    <row r="99" spans="1:14" ht="18.75" x14ac:dyDescent="0.3">
      <c r="A99" s="92" t="s">
        <v>208</v>
      </c>
      <c r="B99" s="93">
        <f>+'Detail charge d''exploit_previsl'!B138</f>
        <v>252987308.91629565</v>
      </c>
      <c r="C99" s="93">
        <f>+'Detail charge d''exploit_previsl'!C138</f>
        <v>290935405.25373995</v>
      </c>
      <c r="D99" s="93">
        <f>+'Detail charge d''exploit_previsl'!D138</f>
        <v>334575716.04180098</v>
      </c>
      <c r="E99" s="93">
        <f>+'Detail charge d''exploit_previsl'!E138</f>
        <v>384762073.44807106</v>
      </c>
      <c r="F99" s="93">
        <f>+'Detail charge d''exploit_previsl'!F138</f>
        <v>442476384.46528167</v>
      </c>
      <c r="G99" s="93">
        <f>+'Detail charge d''exploit_previsl'!G138</f>
        <v>508847842.13507396</v>
      </c>
      <c r="H99" s="93">
        <f>+'Detail charge d''exploit_previsl'!H138</f>
        <v>585175018.45533502</v>
      </c>
      <c r="I99" s="93">
        <f>+'Detail charge d''exploit_previsl'!I138</f>
        <v>672951271.2236352</v>
      </c>
      <c r="J99" s="93">
        <f>+'Detail charge d''exploit_previsl'!J138</f>
        <v>773893961.90718043</v>
      </c>
      <c r="K99" s="93">
        <f>+'Detail charge d''exploit_previsl'!K138</f>
        <v>889978056.19325733</v>
      </c>
      <c r="L99" s="93">
        <f>+'Detail charge d''exploit_previsl'!L138</f>
        <v>1023474764.6222457</v>
      </c>
      <c r="M99" s="93">
        <f>+'Detail charge d''exploit_previsl'!M138</f>
        <v>1176995979.3155828</v>
      </c>
      <c r="N99" s="68">
        <f>SUM(B99:M99)</f>
        <v>7337053781.977499</v>
      </c>
    </row>
    <row r="100" spans="1:14" ht="18.75" x14ac:dyDescent="0.3">
      <c r="A100" s="92" t="s">
        <v>209</v>
      </c>
      <c r="B100" s="93">
        <f>+'Detail charge d''exploit_previsl'!B144</f>
        <v>458656621.16491371</v>
      </c>
      <c r="C100" s="93">
        <f>+'Detail charge d''exploit_previsl'!C144</f>
        <v>527455114.33965075</v>
      </c>
      <c r="D100" s="93">
        <f>+'Detail charge d''exploit_previsl'!D144</f>
        <v>606573381.49059844</v>
      </c>
      <c r="E100" s="93">
        <f>+'Detail charge d''exploit_previsl'!E144</f>
        <v>697559388.71418798</v>
      </c>
      <c r="F100" s="93">
        <f>+'Detail charge d''exploit_previsl'!F144</f>
        <v>802193297.02131617</v>
      </c>
      <c r="G100" s="93">
        <f>+'Detail charge d''exploit_previsl'!G144</f>
        <v>922522291.57451344</v>
      </c>
      <c r="H100" s="93">
        <f>+'Detail charge d''exploit_previsl'!H144</f>
        <v>1060900635.3106904</v>
      </c>
      <c r="I100" s="93">
        <f>+'Detail charge d''exploit_previsl'!I144</f>
        <v>1220035730.6072938</v>
      </c>
      <c r="J100" s="93">
        <f>+'Detail charge d''exploit_previsl'!J144</f>
        <v>1403041090.1983879</v>
      </c>
      <c r="K100" s="93">
        <f>+'Detail charge d''exploit_previsl'!K144</f>
        <v>1613497253.7281458</v>
      </c>
      <c r="L100" s="93">
        <f>+'Detail charge d''exploit_previsl'!L144</f>
        <v>1855521841.7873678</v>
      </c>
      <c r="M100" s="93">
        <f>+'Detail charge d''exploit_previsl'!M144</f>
        <v>2133850118.0554726</v>
      </c>
      <c r="N100" s="68">
        <f>SUM(B100:M100)</f>
        <v>13301806763.992542</v>
      </c>
    </row>
    <row r="101" spans="1:14" ht="18.75" x14ac:dyDescent="0.3">
      <c r="A101" s="92" t="s">
        <v>210</v>
      </c>
      <c r="B101" s="93">
        <f>+'Detail charge d''exploit_previsl'!B149</f>
        <v>1010543750.6156477</v>
      </c>
      <c r="C101" s="93">
        <f>+'Detail charge d''exploit_previsl'!C149</f>
        <v>1162125313.2079947</v>
      </c>
      <c r="D101" s="93">
        <f>+'Detail charge d''exploit_previsl'!D149</f>
        <v>1336444110.189194</v>
      </c>
      <c r="E101" s="93">
        <f>+'Detail charge d''exploit_previsl'!E149</f>
        <v>1536910726.7175727</v>
      </c>
      <c r="F101" s="93">
        <f>+'Detail charge d''exploit_previsl'!F149</f>
        <v>1767447335.7252085</v>
      </c>
      <c r="G101" s="93">
        <f>+'Detail charge d''exploit_previsl'!G149</f>
        <v>2032564436.0839896</v>
      </c>
      <c r="H101" s="93">
        <f>+'Detail charge d''exploit_previsl'!H149</f>
        <v>2337449101.4965878</v>
      </c>
      <c r="I101" s="93">
        <f>+'Detail charge d''exploit_previsl'!I149</f>
        <v>2688066466.7210755</v>
      </c>
      <c r="J101" s="93">
        <f>+'Detail charge d''exploit_previsl'!J149</f>
        <v>3091276436.7292366</v>
      </c>
      <c r="K101" s="93">
        <f>+'Detail charge d''exploit_previsl'!K149</f>
        <v>3554967902.2386217</v>
      </c>
      <c r="L101" s="93">
        <f>+'Detail charge d''exploit_previsl'!L149</f>
        <v>4088213087.5744143</v>
      </c>
      <c r="M101" s="93">
        <f>+'Detail charge d''exploit_previsl'!M149</f>
        <v>4701445050.7105761</v>
      </c>
      <c r="N101" s="68">
        <f>SUM(B101:M101)</f>
        <v>29307453718.010117</v>
      </c>
    </row>
    <row r="102" spans="1:14" ht="18.75" x14ac:dyDescent="0.3">
      <c r="A102" s="92" t="s">
        <v>211</v>
      </c>
      <c r="B102" s="93">
        <f>+'Detail charge d''exploit_previsl'!B149</f>
        <v>1010543750.6156477</v>
      </c>
      <c r="C102" s="93">
        <f>+'Detail charge d''exploit_previsl'!C149</f>
        <v>1162125313.2079947</v>
      </c>
      <c r="D102" s="93">
        <f>+'Detail charge d''exploit_previsl'!D149</f>
        <v>1336444110.189194</v>
      </c>
      <c r="E102" s="93">
        <f>+'Detail charge d''exploit_previsl'!E149</f>
        <v>1536910726.7175727</v>
      </c>
      <c r="F102" s="93">
        <f>+'Detail charge d''exploit_previsl'!F149</f>
        <v>1767447335.7252085</v>
      </c>
      <c r="G102" s="93">
        <f>+'Detail charge d''exploit_previsl'!G149</f>
        <v>2032564436.0839896</v>
      </c>
      <c r="H102" s="93">
        <f>+'Detail charge d''exploit_previsl'!H149</f>
        <v>2337449101.4965878</v>
      </c>
      <c r="I102" s="93">
        <f>+'Detail charge d''exploit_previsl'!I149</f>
        <v>2688066466.7210755</v>
      </c>
      <c r="J102" s="93">
        <f>+'Detail charge d''exploit_previsl'!J149</f>
        <v>3091276436.7292366</v>
      </c>
      <c r="K102" s="93">
        <f>+'Detail charge d''exploit_previsl'!K149</f>
        <v>3554967902.2386217</v>
      </c>
      <c r="L102" s="93">
        <f>+'Detail charge d''exploit_previsl'!L149</f>
        <v>4088213087.5744143</v>
      </c>
      <c r="M102" s="93">
        <f>+'Detail charge d''exploit_previsl'!M149</f>
        <v>4701445050.7105761</v>
      </c>
      <c r="N102" s="68">
        <f>SUM(B102:M102)</f>
        <v>29307453718.010117</v>
      </c>
    </row>
    <row r="103" spans="1:14" ht="18.75" x14ac:dyDescent="0.3">
      <c r="A103" s="92" t="s">
        <v>239</v>
      </c>
      <c r="B103" s="93">
        <f>+'TABL-AMORT-EMPR_-5ans'!E57</f>
        <v>-66666.666666666672</v>
      </c>
      <c r="C103" s="93">
        <f>+'TABL-AMORT-EMPR_-5ans'!E58</f>
        <v>-69444.444444444453</v>
      </c>
      <c r="D103" s="93">
        <f>+'TABL-AMORT-EMPR_-5ans'!E59</f>
        <v>-72222.222222222234</v>
      </c>
      <c r="E103" s="93">
        <f>+'TABL-AMORT-EMPR_-5ans'!E60</f>
        <v>-75000</v>
      </c>
      <c r="F103" s="93">
        <f>+'TABL-AMORT-EMPR_-5ans'!E61</f>
        <v>-77777.777777777766</v>
      </c>
      <c r="G103" s="93">
        <f>+'TABL-AMORT-EMPR_-5ans'!E62</f>
        <v>-80555.555555555547</v>
      </c>
      <c r="H103" s="93">
        <f>+'TABL-AMORT-EMPR_-5ans'!E63</f>
        <v>-83333.333333333328</v>
      </c>
      <c r="I103" s="93">
        <f>+'TABL-AMORT-EMPR_-5ans'!E64</f>
        <v>-86111.111111111095</v>
      </c>
      <c r="J103" s="93">
        <f>+'TABL-AMORT-EMPR_-5ans'!E65</f>
        <v>-88888.888888888876</v>
      </c>
      <c r="K103" s="93">
        <f>+'TABL-AMORT-EMPR_-5ans'!E66</f>
        <v>-91666.666666666642</v>
      </c>
      <c r="L103" s="93">
        <f>+'TABL-AMORT-EMPR_-5ans'!E67</f>
        <v>-94444.444444444423</v>
      </c>
      <c r="M103" s="93">
        <f>+'TABL-AMORT-EMPR_-5ans'!E68</f>
        <v>-97222.22222222219</v>
      </c>
      <c r="N103" s="68">
        <f>SUM(B103:M103)</f>
        <v>-983333.33333333326</v>
      </c>
    </row>
    <row r="104" spans="1:14" ht="21" x14ac:dyDescent="0.35">
      <c r="A104" s="161" t="s">
        <v>240</v>
      </c>
      <c r="B104" s="116"/>
      <c r="C104" s="116"/>
      <c r="D104" s="116"/>
      <c r="E104" s="116"/>
      <c r="F104" s="116"/>
      <c r="G104" s="116"/>
      <c r="H104" s="120"/>
      <c r="I104" s="120"/>
      <c r="J104" s="120"/>
      <c r="K104" s="120"/>
      <c r="L104" s="120"/>
      <c r="M104" s="120"/>
      <c r="N104" s="120"/>
    </row>
    <row r="105" spans="1:14" ht="18.75" x14ac:dyDescent="0.25">
      <c r="A105" s="281" t="s">
        <v>241</v>
      </c>
      <c r="B105" s="93">
        <f>+'TABL-AMORT-EMPR_-5ans'!D57</f>
        <v>416666.66666666669</v>
      </c>
      <c r="C105" s="93">
        <f>+'TABL-AMORT-EMPR_-5ans'!D58</f>
        <v>416666.66666666669</v>
      </c>
      <c r="D105" s="93">
        <f>+'TABL-AMORT-EMPR_-5ans'!D59</f>
        <v>416666.66666666669</v>
      </c>
      <c r="E105" s="93">
        <f>+'TABL-AMORT-EMPR_-5ans'!D60</f>
        <v>416666.66666666669</v>
      </c>
      <c r="F105" s="93">
        <f>+'TABL-AMORT-EMPR_-5ans'!D61</f>
        <v>416666.66666666669</v>
      </c>
      <c r="G105" s="93">
        <f>+'TABL-AMORT-EMPR_-5ans'!D62</f>
        <v>416666.66666666669</v>
      </c>
      <c r="H105" s="28">
        <f>+'TABL-AMORT-EMPR_-5ans'!D63</f>
        <v>416666.66666666669</v>
      </c>
      <c r="I105" s="28">
        <f>+'TABL-AMORT-EMPR_-5ans'!D64</f>
        <v>416666.66666666669</v>
      </c>
      <c r="J105" s="28">
        <f>+'TABL-AMORT-EMPR_-5ans'!D65</f>
        <v>416666.66666666669</v>
      </c>
      <c r="K105" s="28">
        <f>+'TABL-AMORT-EMPR_-5ans'!D66</f>
        <v>416666.66666666669</v>
      </c>
      <c r="L105" s="28">
        <f>+'TABL-AMORT-EMPR_-5ans'!D67</f>
        <v>416666.66666666669</v>
      </c>
      <c r="M105" s="28">
        <f>+'TABL-AMORT-EMPR_-5ans'!D68</f>
        <v>416666.66666666669</v>
      </c>
      <c r="N105" s="27">
        <f>SUM(B105:M105)</f>
        <v>5000000</v>
      </c>
    </row>
    <row r="106" spans="1:14" ht="18.75" x14ac:dyDescent="0.3">
      <c r="A106" s="92" t="s">
        <v>242</v>
      </c>
      <c r="B106" s="96"/>
      <c r="C106" s="93"/>
      <c r="D106" s="93"/>
      <c r="E106" s="93"/>
      <c r="F106" s="93"/>
      <c r="G106" s="93"/>
      <c r="H106" s="27"/>
      <c r="I106" s="28"/>
      <c r="J106" s="28"/>
      <c r="K106" s="28"/>
      <c r="L106" s="28"/>
      <c r="M106" s="28"/>
      <c r="N106" s="27">
        <f>SUM(B106:M106)</f>
        <v>0</v>
      </c>
    </row>
    <row r="107" spans="1:14" ht="18.75" x14ac:dyDescent="0.3">
      <c r="A107" s="95" t="s">
        <v>212</v>
      </c>
      <c r="B107" s="96">
        <f t="shared" ref="B107:M107" si="17">SUM(B99:B106)</f>
        <v>2733081431.3125048</v>
      </c>
      <c r="C107" s="96">
        <f t="shared" si="17"/>
        <v>3142988368.2316022</v>
      </c>
      <c r="D107" s="96">
        <f t="shared" si="17"/>
        <v>3614381762.3552318</v>
      </c>
      <c r="E107" s="96">
        <f t="shared" si="17"/>
        <v>4156484582.264071</v>
      </c>
      <c r="F107" s="96">
        <f t="shared" si="17"/>
        <v>4779903241.8259039</v>
      </c>
      <c r="G107" s="96">
        <f t="shared" si="17"/>
        <v>5496835116.9886789</v>
      </c>
      <c r="H107" s="27">
        <f t="shared" si="17"/>
        <v>6321307190.092535</v>
      </c>
      <c r="I107" s="27">
        <f t="shared" si="17"/>
        <v>7269450490.8286371</v>
      </c>
      <c r="J107" s="27">
        <f t="shared" si="17"/>
        <v>8359815703.3418188</v>
      </c>
      <c r="K107" s="27">
        <f t="shared" si="17"/>
        <v>9613736114.3986473</v>
      </c>
      <c r="L107" s="27">
        <f t="shared" si="17"/>
        <v>11055745003.780663</v>
      </c>
      <c r="M107" s="27">
        <f t="shared" si="17"/>
        <v>12714055643.236652</v>
      </c>
      <c r="N107" s="27">
        <f>SUM(B107:M107)</f>
        <v>79257784648.656952</v>
      </c>
    </row>
    <row r="108" spans="1:14" ht="21" x14ac:dyDescent="0.35">
      <c r="A108" s="101" t="s">
        <v>236</v>
      </c>
      <c r="B108" s="93">
        <f t="shared" ref="B108:M108" si="18">B97-B107</f>
        <v>-949081431.31250477</v>
      </c>
      <c r="C108" s="93">
        <f t="shared" si="18"/>
        <v>-1091388368.2316022</v>
      </c>
      <c r="D108" s="93">
        <f t="shared" si="18"/>
        <v>-1255041762.3552318</v>
      </c>
      <c r="E108" s="93">
        <f t="shared" si="18"/>
        <v>-1443243582.264071</v>
      </c>
      <c r="F108" s="93">
        <f t="shared" si="18"/>
        <v>-1659676091.8259044</v>
      </c>
      <c r="G108" s="93">
        <f t="shared" si="18"/>
        <v>-1908573894.4886799</v>
      </c>
      <c r="H108" s="28">
        <f t="shared" si="18"/>
        <v>-2194806784.2175369</v>
      </c>
      <c r="I108" s="28">
        <f t="shared" si="18"/>
        <v>-2523975024.0723896</v>
      </c>
      <c r="J108" s="28">
        <f t="shared" si="18"/>
        <v>-2902518916.572134</v>
      </c>
      <c r="K108" s="28">
        <f t="shared" si="18"/>
        <v>-3337844809.6135111</v>
      </c>
      <c r="L108" s="28">
        <f t="shared" si="18"/>
        <v>-3838470003.2777557</v>
      </c>
      <c r="M108" s="28">
        <f t="shared" si="18"/>
        <v>-4414189392.6583099</v>
      </c>
      <c r="N108" s="27">
        <f>SUM(B108:M108)</f>
        <v>-27518810060.889633</v>
      </c>
    </row>
    <row r="109" spans="1:14" ht="21" x14ac:dyDescent="0.35">
      <c r="A109" s="161" t="s">
        <v>243</v>
      </c>
      <c r="B109" s="117">
        <f>M87+B108</f>
        <v>-1123744691.042527</v>
      </c>
      <c r="C109" s="117">
        <f>B109+C108</f>
        <v>-2215133059.2741289</v>
      </c>
      <c r="D109" s="117">
        <f>C109+D108</f>
        <v>-3470174821.6293607</v>
      </c>
      <c r="E109" s="117">
        <f t="shared" ref="E109:M109" si="19">+D109+E108</f>
        <v>-4913418403.8934317</v>
      </c>
      <c r="F109" s="117">
        <f t="shared" si="19"/>
        <v>-6573094495.7193356</v>
      </c>
      <c r="G109" s="118">
        <f t="shared" si="19"/>
        <v>-8481668390.2080154</v>
      </c>
      <c r="H109" s="118">
        <f t="shared" si="19"/>
        <v>-10676475174.425552</v>
      </c>
      <c r="I109" s="118">
        <f t="shared" si="19"/>
        <v>-13200450198.497942</v>
      </c>
      <c r="J109" s="118">
        <f t="shared" si="19"/>
        <v>-16102969115.070076</v>
      </c>
      <c r="K109" s="118">
        <f t="shared" si="19"/>
        <v>-19440813924.683586</v>
      </c>
      <c r="L109" s="118">
        <f t="shared" si="19"/>
        <v>-23279283927.961342</v>
      </c>
      <c r="M109" s="118">
        <f t="shared" si="19"/>
        <v>-27693473320.619652</v>
      </c>
      <c r="N109" s="120"/>
    </row>
  </sheetData>
  <mergeCells count="16">
    <mergeCell ref="A98:G98"/>
    <mergeCell ref="A67:G67"/>
    <mergeCell ref="A72:G72"/>
    <mergeCell ref="A76:G76"/>
    <mergeCell ref="A89:G89"/>
    <mergeCell ref="A94:G94"/>
    <mergeCell ref="A28:G28"/>
    <mergeCell ref="A32:G32"/>
    <mergeCell ref="A45:G45"/>
    <mergeCell ref="A50:G50"/>
    <mergeCell ref="A54:G54"/>
    <mergeCell ref="A1:H1"/>
    <mergeCell ref="A6:H6"/>
    <mergeCell ref="A10:H10"/>
    <mergeCell ref="B11:B15"/>
    <mergeCell ref="A23:G23"/>
  </mergeCells>
  <pageMargins left="0.70000000000000007" right="0.70000000000000007" top="0.75" bottom="0.75" header="0.30000000000000004" footer="0.30000000000000004"/>
  <pageSetup paperSize="9" scale="64" fitToWidth="0" fitToHeight="0" orientation="landscape" r:id="rId1"/>
  <rowBreaks count="4" manualBreakCount="4">
    <brk id="21" max="16383" man="1"/>
    <brk id="44" max="16383" man="1"/>
    <brk id="66" max="16383" man="1"/>
    <brk id="8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23"/>
  <sheetViews>
    <sheetView showGridLines="0" zoomScaleNormal="100" workbookViewId="0">
      <selection activeCell="C14" sqref="C14"/>
    </sheetView>
  </sheetViews>
  <sheetFormatPr baseColWidth="10" defaultRowHeight="15" x14ac:dyDescent="0.25"/>
  <cols>
    <col min="1" max="1" width="42.42578125" bestFit="1" customWidth="1"/>
    <col min="2" max="3" width="17" bestFit="1" customWidth="1"/>
    <col min="4" max="4" width="19.28515625" bestFit="1" customWidth="1"/>
    <col min="5" max="7" width="20.85546875" bestFit="1" customWidth="1"/>
    <col min="8" max="8" width="11.42578125" customWidth="1"/>
  </cols>
  <sheetData>
    <row r="2" spans="1:7" ht="27" customHeight="1" x14ac:dyDescent="0.35">
      <c r="A2" s="412" t="s">
        <v>235</v>
      </c>
      <c r="B2" s="412"/>
      <c r="C2" s="412"/>
      <c r="D2" s="412"/>
      <c r="E2" s="412"/>
      <c r="F2" s="412"/>
      <c r="G2" s="412"/>
    </row>
    <row r="3" spans="1:7" ht="21" x14ac:dyDescent="0.35">
      <c r="A3" s="87"/>
      <c r="B3" s="87"/>
      <c r="C3" s="87"/>
      <c r="D3" s="87"/>
      <c r="E3" s="87"/>
      <c r="F3" s="87"/>
      <c r="G3" s="87"/>
    </row>
    <row r="4" spans="1:7" ht="6" customHeight="1" x14ac:dyDescent="0.35">
      <c r="A4" s="87"/>
      <c r="B4" s="87"/>
      <c r="C4" s="87"/>
      <c r="D4" s="87"/>
      <c r="E4" s="87"/>
      <c r="F4" s="87"/>
      <c r="G4" s="87"/>
    </row>
    <row r="5" spans="1:7" ht="23.1" customHeight="1" x14ac:dyDescent="0.35">
      <c r="A5" s="99" t="s">
        <v>160</v>
      </c>
      <c r="B5" s="99">
        <f>+BASE_INFORMATION!A14</f>
        <v>2026</v>
      </c>
      <c r="C5" s="99">
        <f>+BASE_INFORMATION!B14</f>
        <v>2027</v>
      </c>
      <c r="D5" s="99">
        <f>+BASE_INFORMATION!C14</f>
        <v>2028</v>
      </c>
      <c r="E5" s="99">
        <f>+BASE_INFORMATION!D14</f>
        <v>2029</v>
      </c>
      <c r="F5" s="99">
        <f>+BASE_INFORMATION!E14</f>
        <v>2030</v>
      </c>
      <c r="G5" s="99" t="s">
        <v>221</v>
      </c>
    </row>
    <row r="6" spans="1:7" ht="30" customHeight="1" x14ac:dyDescent="0.35">
      <c r="A6" s="99" t="s">
        <v>236</v>
      </c>
      <c r="B6" s="99"/>
      <c r="C6" s="99"/>
      <c r="D6" s="99"/>
      <c r="E6" s="99"/>
      <c r="F6" s="99"/>
      <c r="G6" s="99"/>
    </row>
    <row r="7" spans="1:7" ht="21" x14ac:dyDescent="0.35">
      <c r="A7" s="448" t="s">
        <v>205</v>
      </c>
      <c r="B7" s="448"/>
      <c r="C7" s="448"/>
      <c r="D7" s="448"/>
      <c r="E7" s="448"/>
      <c r="F7" s="448"/>
      <c r="G7" s="448"/>
    </row>
    <row r="8" spans="1:7" ht="24" customHeight="1" x14ac:dyDescent="0.35">
      <c r="A8" s="157" t="s">
        <v>206</v>
      </c>
      <c r="B8" s="100">
        <f>+CA_annuel_PREVISL!B10</f>
        <v>106030095.9040792</v>
      </c>
      <c r="C8" s="100">
        <f>+CA_annuel_PREVISL!C10</f>
        <v>493028345.28702027</v>
      </c>
      <c r="D8" s="100">
        <f>+CA_annuel_PREVISL!D10</f>
        <v>2378136724.3256273</v>
      </c>
      <c r="E8" s="100">
        <f>+CA_annuel_PREVISL!E10</f>
        <v>11107638602.642868</v>
      </c>
      <c r="F8" s="100">
        <f>+CA_annuel_PREVISL!F10</f>
        <v>51738974587.767319</v>
      </c>
      <c r="G8" s="100">
        <f>+CA_annuel_PREVISL!G10</f>
        <v>65823808355.92691</v>
      </c>
    </row>
    <row r="9" spans="1:7" ht="24" customHeight="1" x14ac:dyDescent="0.35">
      <c r="A9" s="157" t="s">
        <v>237</v>
      </c>
      <c r="B9" s="104"/>
      <c r="C9" s="100"/>
      <c r="D9" s="100"/>
      <c r="E9" s="100"/>
      <c r="F9" s="100"/>
      <c r="G9" s="100">
        <f>B9</f>
        <v>0</v>
      </c>
    </row>
    <row r="10" spans="1:7" ht="21.95" customHeight="1" x14ac:dyDescent="0.35">
      <c r="A10" s="101" t="s">
        <v>238</v>
      </c>
      <c r="B10" s="104">
        <f>+B8+B9</f>
        <v>106030095.9040792</v>
      </c>
      <c r="C10" s="104">
        <f>+C8</f>
        <v>493028345.28702027</v>
      </c>
      <c r="D10" s="104">
        <f>+D8</f>
        <v>2378136724.3256273</v>
      </c>
      <c r="E10" s="104">
        <f>+E8</f>
        <v>11107638602.642868</v>
      </c>
      <c r="F10" s="104">
        <f>+F8</f>
        <v>51738974587.767319</v>
      </c>
      <c r="G10" s="104">
        <f>+G8+G9</f>
        <v>65823808355.92691</v>
      </c>
    </row>
    <row r="11" spans="1:7" ht="21.95" customHeight="1" x14ac:dyDescent="0.35">
      <c r="A11" s="449" t="s">
        <v>207</v>
      </c>
      <c r="B11" s="449"/>
      <c r="C11" s="449"/>
      <c r="D11" s="449"/>
      <c r="E11" s="449"/>
      <c r="F11" s="449"/>
      <c r="G11" s="449"/>
    </row>
    <row r="12" spans="1:7" ht="21.95" customHeight="1" x14ac:dyDescent="0.35">
      <c r="A12" s="157" t="s">
        <v>208</v>
      </c>
      <c r="B12" s="100">
        <f>+'Compte-annuel_EXPL-PREVSL'!B11</f>
        <v>15660900.379705353</v>
      </c>
      <c r="C12" s="100">
        <f>+'Compte-annuel_EXPL-PREVSL'!C11</f>
        <v>72860638.181158066</v>
      </c>
      <c r="D12" s="100">
        <f>+'Compte-annuel_EXPL-PREVSL'!D11</f>
        <v>338976206.18575877</v>
      </c>
      <c r="E12" s="100">
        <f>+'Compte-annuel_EXPL-PREVSL'!E11</f>
        <v>1577049985.1290717</v>
      </c>
      <c r="F12" s="100">
        <f>+'Compte-annuel_EXPL-PREVSL'!F11</f>
        <v>7337053781.977499</v>
      </c>
      <c r="G12" s="112">
        <f>SUM(B12:F12)</f>
        <v>9341601511.8531933</v>
      </c>
    </row>
    <row r="13" spans="1:7" ht="21.95" customHeight="1" x14ac:dyDescent="0.35">
      <c r="A13" s="157" t="s">
        <v>209</v>
      </c>
      <c r="B13" s="100">
        <f>+'Compte-annuel_EXPL-PREVSL'!B12</f>
        <v>28392632.355058409</v>
      </c>
      <c r="C13" s="100">
        <f>+'Compte-annuel_EXPL-PREVSL'!C12</f>
        <v>132093638.48028469</v>
      </c>
      <c r="D13" s="100">
        <f>+'Compte-annuel_EXPL-PREVSL'!D12</f>
        <v>614551307.1404773</v>
      </c>
      <c r="E13" s="100">
        <f>+'Compte-annuel_EXPL-PREVSL'!E12</f>
        <v>2859133213.7802982</v>
      </c>
      <c r="F13" s="100">
        <f>+'Compte-annuel_EXPL-PREVSL'!F12</f>
        <v>13301806763.992542</v>
      </c>
      <c r="G13" s="112">
        <f>SUM(B13:F13)</f>
        <v>16935977555.748661</v>
      </c>
    </row>
    <row r="14" spans="1:7" ht="23.1" customHeight="1" x14ac:dyDescent="0.35">
      <c r="A14" s="157" t="s">
        <v>210</v>
      </c>
      <c r="B14" s="100">
        <f>+'Compte-annuel_EXPL-PREVSL'!B13</f>
        <v>62556596.51671195</v>
      </c>
      <c r="C14" s="100">
        <f>+'Compte-annuel_EXPL-PREVSL'!C13</f>
        <v>291037771.40140367</v>
      </c>
      <c r="D14" s="100">
        <f>+'Compte-annuel_EXPL-PREVSL'!D13</f>
        <v>1354021623.5975587</v>
      </c>
      <c r="E14" s="100">
        <f>+'Compte-annuel_EXPL-PREVSL'!E13</f>
        <v>6299438551.7100153</v>
      </c>
      <c r="F14" s="100">
        <f>+'Compte-annuel_EXPL-PREVSL'!F13</f>
        <v>29307453718.010117</v>
      </c>
      <c r="G14" s="112">
        <f>SUM(B14:F14)</f>
        <v>37314508261.235809</v>
      </c>
    </row>
    <row r="15" spans="1:7" ht="21.95" customHeight="1" x14ac:dyDescent="0.35">
      <c r="A15" s="157" t="s">
        <v>211</v>
      </c>
      <c r="B15" s="100">
        <f>+'Compte-annuel_EXPL-PREVSL'!B14</f>
        <v>4756273.4486512542</v>
      </c>
      <c r="C15" s="100">
        <f>+'Compte-annuel_EXPL-PREVSL'!C14</f>
        <v>22128045.669833183</v>
      </c>
      <c r="D15" s="100">
        <f>+'Compte-annuel_EXPL-PREVSL'!D14</f>
        <v>102948329.28604521</v>
      </c>
      <c r="E15" s="100">
        <f>+'Compte-annuel_EXPL-PREVSL'!E14</f>
        <v>478955921.40956974</v>
      </c>
      <c r="F15" s="100">
        <f>+'Compte-annuel_EXPL-PREVSL'!F14</f>
        <v>2228290407.8598328</v>
      </c>
      <c r="G15" s="112">
        <f>SUM(B15:F15)</f>
        <v>2837078977.6739321</v>
      </c>
    </row>
    <row r="16" spans="1:7" ht="21" customHeight="1" x14ac:dyDescent="0.35">
      <c r="A16" s="157" t="s">
        <v>239</v>
      </c>
      <c r="B16" s="100">
        <f>+'TABl-Amort-Annuel-Emprt'!D6</f>
        <v>616666.66666666674</v>
      </c>
      <c r="C16" s="100">
        <f>+'TABl-Amort-Annuel-Emprt'!D7</f>
        <v>216666.6666666666</v>
      </c>
      <c r="D16" s="100">
        <f>+'TABl-Amort-Annuel-Emprt'!D8</f>
        <v>-183333.33333333343</v>
      </c>
      <c r="E16" s="100">
        <f>+'TABl-Amort-Annuel-Emprt'!D9</f>
        <v>-583333.33333333349</v>
      </c>
      <c r="F16" s="100">
        <f>+'TABl-Amort-Annuel-Emprt'!D10</f>
        <v>-983333.33333333326</v>
      </c>
      <c r="G16" s="112">
        <f>SUM(B16:F16)</f>
        <v>-916666.66666666674</v>
      </c>
    </row>
    <row r="17" spans="1:7" ht="21" customHeight="1" x14ac:dyDescent="0.35">
      <c r="A17" s="113" t="s">
        <v>240</v>
      </c>
      <c r="B17" s="113"/>
      <c r="C17" s="113"/>
      <c r="D17" s="113"/>
      <c r="E17" s="113"/>
      <c r="F17" s="113"/>
      <c r="G17" s="113"/>
    </row>
    <row r="18" spans="1:7" ht="23.1" customHeight="1" x14ac:dyDescent="0.35">
      <c r="A18" s="157" t="s">
        <v>241</v>
      </c>
      <c r="B18" s="100">
        <f>-'TABl-Amort-Annuel-Emprt'!C6</f>
        <v>-5000000</v>
      </c>
      <c r="C18" s="100">
        <f>-'TABl-Amort-Annuel-Emprt'!C7</f>
        <v>-5000000</v>
      </c>
      <c r="D18" s="100">
        <f>-'TABl-Amort-Annuel-Emprt'!C8</f>
        <v>-5000000</v>
      </c>
      <c r="E18" s="100">
        <f>-'TABl-Amort-Annuel-Emprt'!C9</f>
        <v>-5000000</v>
      </c>
      <c r="F18" s="100">
        <f>-'TABl-Amort-Annuel-Emprt'!C10</f>
        <v>-5000000</v>
      </c>
      <c r="G18" s="104">
        <f>SUM(B18:F18)</f>
        <v>-25000000</v>
      </c>
    </row>
    <row r="19" spans="1:7" ht="23.1" customHeight="1" x14ac:dyDescent="0.35">
      <c r="A19" s="157" t="s">
        <v>242</v>
      </c>
      <c r="B19" s="104">
        <f>+B9</f>
        <v>0</v>
      </c>
      <c r="C19" s="100"/>
      <c r="D19" s="100"/>
      <c r="E19" s="100"/>
      <c r="F19" s="100"/>
      <c r="G19" s="104">
        <f>B19</f>
        <v>0</v>
      </c>
    </row>
    <row r="20" spans="1:7" ht="24" customHeight="1" x14ac:dyDescent="0.35">
      <c r="A20" s="101" t="s">
        <v>212</v>
      </c>
      <c r="B20" s="104">
        <f t="shared" ref="B20:G20" si="0">B12+B13+B14+B15+B16+B18+B19</f>
        <v>106983069.36679365</v>
      </c>
      <c r="C20" s="104">
        <f t="shared" si="0"/>
        <v>513336760.39934629</v>
      </c>
      <c r="D20" s="104">
        <f t="shared" si="0"/>
        <v>2405314132.8765063</v>
      </c>
      <c r="E20" s="104">
        <f t="shared" si="0"/>
        <v>11208994338.69562</v>
      </c>
      <c r="F20" s="104">
        <f t="shared" si="0"/>
        <v>52168621338.506653</v>
      </c>
      <c r="G20" s="104">
        <f t="shared" si="0"/>
        <v>66403249639.844933</v>
      </c>
    </row>
    <row r="21" spans="1:7" ht="26.1" customHeight="1" x14ac:dyDescent="0.35">
      <c r="A21" s="101" t="s">
        <v>236</v>
      </c>
      <c r="B21" s="100">
        <f t="shared" ref="B21:G21" si="1">B10-B20</f>
        <v>-952973.46271444857</v>
      </c>
      <c r="C21" s="100">
        <f t="shared" si="1"/>
        <v>-20308415.112326026</v>
      </c>
      <c r="D21" s="100">
        <f t="shared" si="1"/>
        <v>-27177408.550879002</v>
      </c>
      <c r="E21" s="100">
        <f t="shared" si="1"/>
        <v>-101355736.05275154</v>
      </c>
      <c r="F21" s="100">
        <f t="shared" si="1"/>
        <v>-429646750.73933411</v>
      </c>
      <c r="G21" s="104">
        <f t="shared" si="1"/>
        <v>-579441283.91802216</v>
      </c>
    </row>
    <row r="22" spans="1:7" ht="27" customHeight="1" x14ac:dyDescent="0.35">
      <c r="A22" s="102" t="s">
        <v>243</v>
      </c>
      <c r="B22" s="114">
        <f>B21</f>
        <v>-952973.46271444857</v>
      </c>
      <c r="C22" s="114">
        <f>B22+C21</f>
        <v>-21261388.575040475</v>
      </c>
      <c r="D22" s="114">
        <f>C22+D21</f>
        <v>-48438797.125919476</v>
      </c>
      <c r="E22" s="114">
        <f>D22+E21</f>
        <v>-149794533.178671</v>
      </c>
      <c r="F22" s="114">
        <f>E22+F21</f>
        <v>-579441283.91800511</v>
      </c>
      <c r="G22" s="114"/>
    </row>
    <row r="23" spans="1:7" ht="21" x14ac:dyDescent="0.35">
      <c r="A23" s="43"/>
      <c r="B23" s="43"/>
      <c r="C23" s="43"/>
      <c r="D23" s="43"/>
      <c r="E23" s="43"/>
      <c r="F23" s="43"/>
      <c r="G23" s="43"/>
    </row>
  </sheetData>
  <mergeCells count="3">
    <mergeCell ref="A2:G2"/>
    <mergeCell ref="A7:G7"/>
    <mergeCell ref="A11:G11"/>
  </mergeCells>
  <pageMargins left="0.70000000000000007" right="0.70000000000000007" top="0.75" bottom="0.75" header="0.30000000000000004" footer="0.30000000000000004"/>
  <pageSetup paperSize="9" scale="89" fitToWidth="0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G16"/>
  <sheetViews>
    <sheetView showGridLines="0" topLeftCell="A2" zoomScaleNormal="100" workbookViewId="0">
      <selection activeCell="G8" sqref="G8"/>
    </sheetView>
  </sheetViews>
  <sheetFormatPr baseColWidth="10" defaultRowHeight="15" x14ac:dyDescent="0.25"/>
  <cols>
    <col min="1" max="1" width="31.7109375" bestFit="1" customWidth="1"/>
    <col min="2" max="2" width="9.85546875" bestFit="1" customWidth="1"/>
    <col min="3" max="3" width="10.5703125" bestFit="1" customWidth="1"/>
    <col min="4" max="5" width="11.5703125" bestFit="1" customWidth="1"/>
    <col min="6" max="6" width="13" bestFit="1" customWidth="1"/>
    <col min="7" max="7" width="12.28515625" bestFit="1" customWidth="1"/>
  </cols>
  <sheetData>
    <row r="2" spans="1:7" ht="28.5" x14ac:dyDescent="0.45">
      <c r="A2" s="459" t="s">
        <v>418</v>
      </c>
      <c r="B2" s="459"/>
      <c r="C2" s="459"/>
      <c r="D2" s="459"/>
      <c r="E2" s="459"/>
      <c r="F2" s="459"/>
      <c r="G2" s="459"/>
    </row>
    <row r="4" spans="1:7" ht="18.75" x14ac:dyDescent="0.3">
      <c r="A4" s="312" t="s">
        <v>408</v>
      </c>
      <c r="B4" s="305">
        <v>0</v>
      </c>
      <c r="C4" s="305">
        <f>+'C.A.F'!E10</f>
        <v>2026</v>
      </c>
      <c r="D4" s="305">
        <f>+'C.A.F'!G10</f>
        <v>2027</v>
      </c>
      <c r="E4" s="305">
        <f>+'C.A.F'!I10</f>
        <v>2028</v>
      </c>
      <c r="F4" s="305">
        <f>+'C.A.F'!K10</f>
        <v>2029</v>
      </c>
      <c r="G4" s="305">
        <f>+'C.A.F'!L10</f>
        <v>2030</v>
      </c>
    </row>
    <row r="5" spans="1:7" x14ac:dyDescent="0.25">
      <c r="A5" s="460" t="s">
        <v>409</v>
      </c>
      <c r="B5" s="461"/>
      <c r="C5" s="461"/>
      <c r="D5" s="461"/>
      <c r="E5" s="461"/>
      <c r="F5" s="461"/>
      <c r="G5" s="462"/>
    </row>
    <row r="6" spans="1:7" ht="21" customHeight="1" x14ac:dyDescent="0.25">
      <c r="A6" s="310" t="s">
        <v>410</v>
      </c>
      <c r="B6" s="306"/>
      <c r="C6" s="306">
        <f>+'C.A.F'!E21</f>
        <v>-3795980.0970358104</v>
      </c>
      <c r="D6" s="306">
        <f>+'C.A.F'!F21</f>
        <v>0</v>
      </c>
      <c r="E6" s="306">
        <f>+'C.A.F'!G21</f>
        <v>-18818811.33424446</v>
      </c>
      <c r="F6" s="306">
        <f>+'C.A.F'!H21</f>
        <v>0</v>
      </c>
      <c r="G6" s="306">
        <f>+'C.A.F'!I21</f>
        <v>-24229306.41315937</v>
      </c>
    </row>
    <row r="7" spans="1:7" ht="18" customHeight="1" x14ac:dyDescent="0.25">
      <c r="A7" s="310" t="s">
        <v>237</v>
      </c>
      <c r="B7" s="306">
        <f>+BASE_INFORMATION!C7</f>
        <v>10000000</v>
      </c>
      <c r="C7" s="306"/>
      <c r="D7" s="306"/>
      <c r="E7" s="306"/>
      <c r="F7" s="306"/>
      <c r="G7" s="306"/>
    </row>
    <row r="8" spans="1:7" ht="18.95" customHeight="1" x14ac:dyDescent="0.25">
      <c r="A8" s="310" t="s">
        <v>413</v>
      </c>
      <c r="B8" s="306"/>
      <c r="C8" s="306"/>
      <c r="D8" s="306"/>
      <c r="E8" s="306"/>
      <c r="F8" s="306"/>
      <c r="G8" s="306">
        <f>+B.F.R!G7</f>
        <v>5173897458.7767324</v>
      </c>
    </row>
    <row r="9" spans="1:7" ht="21" customHeight="1" x14ac:dyDescent="0.25">
      <c r="A9" s="310" t="s">
        <v>414</v>
      </c>
      <c r="B9" s="306"/>
      <c r="C9" s="306"/>
      <c r="D9" s="306"/>
      <c r="E9" s="306"/>
      <c r="F9" s="306"/>
      <c r="G9" s="306"/>
    </row>
    <row r="10" spans="1:7" x14ac:dyDescent="0.25">
      <c r="A10" s="311" t="s">
        <v>412</v>
      </c>
      <c r="B10" s="309">
        <f t="shared" ref="B10:G10" si="0">+SUM(B6:B9)</f>
        <v>10000000</v>
      </c>
      <c r="C10" s="309">
        <f t="shared" si="0"/>
        <v>-3795980.0970358104</v>
      </c>
      <c r="D10" s="309">
        <f t="shared" si="0"/>
        <v>0</v>
      </c>
      <c r="E10" s="309">
        <f t="shared" si="0"/>
        <v>-18818811.33424446</v>
      </c>
      <c r="F10" s="309">
        <f t="shared" si="0"/>
        <v>0</v>
      </c>
      <c r="G10" s="309">
        <f t="shared" si="0"/>
        <v>5149668152.3635731</v>
      </c>
    </row>
    <row r="11" spans="1:7" ht="21" customHeight="1" x14ac:dyDescent="0.25">
      <c r="A11" s="463" t="s">
        <v>415</v>
      </c>
      <c r="B11" s="464"/>
      <c r="C11" s="464"/>
      <c r="D11" s="464"/>
      <c r="E11" s="464"/>
      <c r="F11" s="464"/>
      <c r="G11" s="465"/>
    </row>
    <row r="12" spans="1:7" ht="18.95" customHeight="1" x14ac:dyDescent="0.25">
      <c r="A12" s="310" t="s">
        <v>242</v>
      </c>
      <c r="B12" s="306">
        <f>+'Cout total Projet'!J38</f>
        <v>4500000</v>
      </c>
      <c r="C12" s="306"/>
      <c r="D12" s="306"/>
      <c r="E12" s="306"/>
      <c r="F12" s="306"/>
      <c r="G12" s="306"/>
    </row>
    <row r="13" spans="1:7" ht="20.100000000000001" customHeight="1" x14ac:dyDescent="0.25">
      <c r="A13" s="310" t="s">
        <v>411</v>
      </c>
      <c r="B13" s="306"/>
      <c r="C13" s="306">
        <f>+'Plan_de_TRESR-annuel-PREVS'!B18</f>
        <v>-5000000</v>
      </c>
      <c r="D13" s="306">
        <f>+'Plan_de_TRESR-annuel-PREVS'!C18</f>
        <v>-5000000</v>
      </c>
      <c r="E13" s="306">
        <f>+'Plan_de_TRESR-annuel-PREVS'!D18</f>
        <v>-5000000</v>
      </c>
      <c r="F13" s="306">
        <f>+'Plan_de_TRESR-annuel-PREVS'!E18</f>
        <v>-5000000</v>
      </c>
      <c r="G13" s="306">
        <f>+'Plan_de_TRESR-annuel-PREVS'!F18</f>
        <v>-5000000</v>
      </c>
    </row>
    <row r="14" spans="1:7" ht="18.95" customHeight="1" x14ac:dyDescent="0.25">
      <c r="A14" s="310" t="s">
        <v>416</v>
      </c>
      <c r="B14" s="306">
        <f>+B.F.R!B6</f>
        <v>10603009.590407921</v>
      </c>
      <c r="C14" s="306">
        <f>+B.F.R!C6</f>
        <v>38699824.938294105</v>
      </c>
      <c r="D14" s="306">
        <f>+B.F.R!D6</f>
        <v>188510837.90386072</v>
      </c>
      <c r="E14" s="306">
        <f>+B.F.R!E6</f>
        <v>872950187.83172417</v>
      </c>
      <c r="F14" s="306">
        <f>+B.F.R!F6</f>
        <v>4063133598.5124454</v>
      </c>
      <c r="G14" s="306"/>
    </row>
    <row r="15" spans="1:7" ht="18" customHeight="1" x14ac:dyDescent="0.25">
      <c r="A15" s="307" t="s">
        <v>417</v>
      </c>
      <c r="B15" s="308">
        <f t="shared" ref="B15:G15" si="1">+SUM(B12:B14)</f>
        <v>15103009.590407921</v>
      </c>
      <c r="C15" s="308">
        <f t="shared" si="1"/>
        <v>33699824.938294105</v>
      </c>
      <c r="D15" s="308">
        <f t="shared" si="1"/>
        <v>183510837.90386072</v>
      </c>
      <c r="E15" s="308">
        <f t="shared" si="1"/>
        <v>867950187.83172417</v>
      </c>
      <c r="F15" s="308">
        <f t="shared" si="1"/>
        <v>4058133598.5124454</v>
      </c>
      <c r="G15" s="308">
        <f t="shared" si="1"/>
        <v>-5000000</v>
      </c>
    </row>
    <row r="16" spans="1:7" ht="18.95" customHeight="1" x14ac:dyDescent="0.3">
      <c r="A16" s="313" t="s">
        <v>421</v>
      </c>
      <c r="B16" s="314">
        <f t="shared" ref="B16:G16" si="2">+B10-B15</f>
        <v>-5103009.590407921</v>
      </c>
      <c r="C16" s="314">
        <f t="shared" si="2"/>
        <v>-37495805.035329916</v>
      </c>
      <c r="D16" s="314">
        <f t="shared" si="2"/>
        <v>-183510837.90386072</v>
      </c>
      <c r="E16" s="314">
        <f t="shared" si="2"/>
        <v>-886768999.16596866</v>
      </c>
      <c r="F16" s="314">
        <f t="shared" si="2"/>
        <v>-4058133598.5124454</v>
      </c>
      <c r="G16" s="314">
        <f t="shared" si="2"/>
        <v>5154668152.3635731</v>
      </c>
    </row>
  </sheetData>
  <mergeCells count="3">
    <mergeCell ref="A2:G2"/>
    <mergeCell ref="A5:G5"/>
    <mergeCell ref="A11:G11"/>
  </mergeCells>
  <pageMargins left="0.7" right="0.7" top="0.75" bottom="0.75" header="0.3" footer="0.3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7:L21"/>
  <sheetViews>
    <sheetView showGridLines="0" topLeftCell="A7" workbookViewId="0">
      <pane ySplit="1" topLeftCell="A8" activePane="bottomLeft" state="frozen"/>
      <selection activeCell="A7" sqref="A7"/>
      <selection pane="bottomLeft" activeCell="A11" sqref="A11:D11"/>
    </sheetView>
  </sheetViews>
  <sheetFormatPr baseColWidth="10" defaultColWidth="11.42578125" defaultRowHeight="15" x14ac:dyDescent="0.25"/>
  <cols>
    <col min="1" max="2" width="11.42578125" style="553"/>
    <col min="3" max="3" width="2.85546875" style="553" customWidth="1"/>
    <col min="4" max="4" width="8.7109375" style="553" customWidth="1"/>
    <col min="5" max="9" width="11.42578125" style="292"/>
    <col min="10" max="10" width="10.42578125" style="292" customWidth="1"/>
    <col min="11" max="11" width="19.140625" style="292" customWidth="1"/>
    <col min="12" max="12" width="17.28515625" style="292" customWidth="1"/>
    <col min="13" max="16384" width="11.42578125" style="292"/>
  </cols>
  <sheetData>
    <row r="7" spans="1:12" ht="45.95" customHeight="1" x14ac:dyDescent="0.25">
      <c r="B7" s="466" t="s">
        <v>397</v>
      </c>
      <c r="C7" s="466"/>
      <c r="D7" s="466"/>
      <c r="E7" s="466"/>
      <c r="F7" s="466"/>
      <c r="G7" s="466"/>
      <c r="H7" s="466"/>
      <c r="I7" s="466"/>
    </row>
    <row r="10" spans="1:12" ht="30.95" customHeight="1" x14ac:dyDescent="0.25">
      <c r="A10" s="554" t="s">
        <v>258</v>
      </c>
      <c r="B10" s="555"/>
      <c r="C10" s="555"/>
      <c r="D10" s="556"/>
      <c r="E10" s="467">
        <f>+'Seuil de rentabilité'!E4</f>
        <v>2026</v>
      </c>
      <c r="F10" s="468"/>
      <c r="G10" s="467">
        <f>+'Seuil de rentabilité'!G4</f>
        <v>2027</v>
      </c>
      <c r="H10" s="468"/>
      <c r="I10" s="467">
        <f>+'Seuil de rentabilité'!I4</f>
        <v>2028</v>
      </c>
      <c r="J10" s="468"/>
      <c r="K10" s="293">
        <f>+'Seuil de rentabilité'!K4</f>
        <v>2029</v>
      </c>
      <c r="L10" s="293">
        <f>+'Seuil de rentabilité'!L4</f>
        <v>2030</v>
      </c>
    </row>
    <row r="11" spans="1:12" ht="24" customHeight="1" x14ac:dyDescent="0.25">
      <c r="A11" s="557" t="str">
        <f>+CA_annuel_PREVISL!A7</f>
        <v>Activité principal du chiffre d'affaire</v>
      </c>
      <c r="B11" s="558"/>
      <c r="C11" s="558"/>
      <c r="D11" s="559"/>
      <c r="E11" s="469">
        <f>+CA_annuel_PREVISL!B7</f>
        <v>59250406.436551921</v>
      </c>
      <c r="F11" s="470"/>
      <c r="G11" s="469">
        <f>+CA_annuel_PREVISL!C7</f>
        <v>275515840.01333487</v>
      </c>
      <c r="H11" s="470"/>
      <c r="I11" s="469">
        <f>+CA_annuel_PREVISL!D7</f>
        <v>1305075031.6421125</v>
      </c>
      <c r="J11" s="470"/>
      <c r="K11" s="294">
        <f>+CA_annuel_PREVISL!E7</f>
        <v>6090350147.6631908</v>
      </c>
      <c r="L11" s="294">
        <f>+CA_annuel_PREVISL!F7</f>
        <v>28363630687.688591</v>
      </c>
    </row>
    <row r="12" spans="1:12" ht="24" customHeight="1" x14ac:dyDescent="0.25">
      <c r="A12" s="557" t="str">
        <f>+CA_annuel_PREVISL!A8</f>
        <v>Activité secondaire du chiffre d'affaire</v>
      </c>
      <c r="B12" s="558"/>
      <c r="C12" s="558"/>
      <c r="D12" s="559"/>
      <c r="E12" s="469">
        <f>+CA_annuel_PREVISL!B8</f>
        <v>31176792.422561578</v>
      </c>
      <c r="F12" s="470"/>
      <c r="G12" s="469">
        <f>+CA_annuel_PREVISL!C8</f>
        <v>145008336.8491236</v>
      </c>
      <c r="H12" s="470"/>
      <c r="I12" s="469">
        <f>+CA_annuel_PREVISL!D8</f>
        <v>725041684.24561799</v>
      </c>
      <c r="J12" s="470"/>
      <c r="K12" s="294">
        <f>+CA_annuel_PREVISL!E8</f>
        <v>3393195082.2694931</v>
      </c>
      <c r="L12" s="294">
        <f>+CA_annuel_PREVISL!F8</f>
        <v>15805908716.554476</v>
      </c>
    </row>
    <row r="13" spans="1:12" ht="24" customHeight="1" x14ac:dyDescent="0.25">
      <c r="A13" s="557" t="str">
        <f>+CA_annuel_PREVISL!A9</f>
        <v>Activité 3 du chiffre d'affaire</v>
      </c>
      <c r="B13" s="558"/>
      <c r="C13" s="558"/>
      <c r="D13" s="559"/>
      <c r="E13" s="469">
        <f>+CA_annuel_PREVISL!B9</f>
        <v>15602897.044965701</v>
      </c>
      <c r="F13" s="470"/>
      <c r="G13" s="469">
        <f>+CA_annuel_PREVISL!C9</f>
        <v>72504168.424561799</v>
      </c>
      <c r="H13" s="470"/>
      <c r="I13" s="469">
        <f>+CA_annuel_PREVISL!D9</f>
        <v>348020008.43789667</v>
      </c>
      <c r="J13" s="470"/>
      <c r="K13" s="294">
        <f>+CA_annuel_PREVISL!E9</f>
        <v>1624093372.7101846</v>
      </c>
      <c r="L13" s="294">
        <f>+CA_annuel_PREVISL!F9</f>
        <v>7569435183.5242548</v>
      </c>
    </row>
    <row r="14" spans="1:12" ht="27" customHeight="1" x14ac:dyDescent="0.25">
      <c r="A14" s="560" t="s">
        <v>395</v>
      </c>
      <c r="B14" s="561"/>
      <c r="C14" s="561"/>
      <c r="D14" s="562"/>
      <c r="E14" s="471">
        <f>SUM(E11:F13)</f>
        <v>106030095.9040792</v>
      </c>
      <c r="F14" s="472"/>
      <c r="G14" s="471">
        <f>SUM(G11:H13)</f>
        <v>493028345.28702027</v>
      </c>
      <c r="H14" s="472"/>
      <c r="I14" s="471">
        <f>SUM(I11:J13)</f>
        <v>2378136724.3256273</v>
      </c>
      <c r="J14" s="472"/>
      <c r="K14" s="295">
        <f>+SUM(K11:K13)</f>
        <v>11107638602.642868</v>
      </c>
      <c r="L14" s="295">
        <f>SUM(L11:L13)</f>
        <v>51738974587.767319</v>
      </c>
    </row>
    <row r="15" spans="1:12" ht="24" customHeight="1" x14ac:dyDescent="0.25">
      <c r="A15" s="563" t="s">
        <v>396</v>
      </c>
      <c r="B15" s="558"/>
      <c r="C15" s="558"/>
      <c r="D15" s="559"/>
      <c r="E15" s="469">
        <f>+'Charg-annuel_EXPL-PREVSL'!B27</f>
        <v>111366402.70012695</v>
      </c>
      <c r="F15" s="470"/>
      <c r="G15" s="469">
        <f>+'Charg-annuel_EXPL-PREVSL'!C27</f>
        <v>518120093.73267955</v>
      </c>
      <c r="H15" s="470"/>
      <c r="I15" s="469">
        <f>+'Charg-annuel_EXPL-PREVSL'!D27</f>
        <v>2410497466.2098398</v>
      </c>
      <c r="J15" s="470"/>
      <c r="K15" s="296">
        <f>+'Charg-annuel_EXPL-PREVSL'!E27</f>
        <v>11214577672.028954</v>
      </c>
      <c r="L15" s="296">
        <f>+'Charg-annuel_EXPL-PREVSL'!F27</f>
        <v>52174604671.839989</v>
      </c>
    </row>
    <row r="16" spans="1:12" ht="30.95" customHeight="1" x14ac:dyDescent="0.25">
      <c r="A16" s="560" t="s">
        <v>394</v>
      </c>
      <c r="B16" s="561"/>
      <c r="C16" s="561"/>
      <c r="D16" s="562"/>
      <c r="E16" s="471">
        <f>SUM(E15:F15)</f>
        <v>111366402.70012695</v>
      </c>
      <c r="F16" s="472"/>
      <c r="G16" s="471">
        <f>SUM(G15:H15)</f>
        <v>518120093.73267955</v>
      </c>
      <c r="H16" s="472"/>
      <c r="I16" s="471">
        <f>SUM(I15:J15)</f>
        <v>2410497466.2098398</v>
      </c>
      <c r="J16" s="472"/>
      <c r="K16" s="295">
        <f>+K15</f>
        <v>11214577672.028954</v>
      </c>
      <c r="L16" s="295">
        <f>+L15</f>
        <v>52174604671.839989</v>
      </c>
    </row>
    <row r="17" spans="1:12" ht="24" customHeight="1" x14ac:dyDescent="0.25">
      <c r="A17" s="563" t="s">
        <v>393</v>
      </c>
      <c r="B17" s="558"/>
      <c r="C17" s="558"/>
      <c r="D17" s="559"/>
      <c r="E17" s="469">
        <f>+Amorts_5ans_immobilisations!F21</f>
        <v>825000</v>
      </c>
      <c r="F17" s="470"/>
      <c r="G17" s="469">
        <f>+Amorts_5ans_immobilisations!G21</f>
        <v>0</v>
      </c>
      <c r="H17" s="470"/>
      <c r="I17" s="469">
        <f>+Amorts_5ans_immobilisations!H21</f>
        <v>165000</v>
      </c>
      <c r="J17" s="470"/>
      <c r="K17" s="297">
        <f>+Amorts_5ans_immobilisations!I21</f>
        <v>0</v>
      </c>
      <c r="L17" s="297">
        <f>+Amorts_5ans_immobilisations!J21</f>
        <v>33000</v>
      </c>
    </row>
    <row r="18" spans="1:12" ht="24" customHeight="1" x14ac:dyDescent="0.25">
      <c r="A18" s="560" t="s">
        <v>392</v>
      </c>
      <c r="B18" s="561"/>
      <c r="C18" s="561"/>
      <c r="D18" s="562"/>
      <c r="E18" s="471">
        <f>E14-E16-E17</f>
        <v>-6161306.7960477471</v>
      </c>
      <c r="F18" s="472"/>
      <c r="G18" s="471">
        <f>G14-G16-G17</f>
        <v>-25091748.44565928</v>
      </c>
      <c r="H18" s="472"/>
      <c r="I18" s="471">
        <f>I14-I16-I17</f>
        <v>-32525741.884212494</v>
      </c>
      <c r="J18" s="472"/>
      <c r="K18" s="295">
        <f>+K14-K16-K17</f>
        <v>-106939069.38608551</v>
      </c>
      <c r="L18" s="295">
        <f>+L14-L16-L17</f>
        <v>-435663084.07266998</v>
      </c>
    </row>
    <row r="19" spans="1:12" ht="24" customHeight="1" x14ac:dyDescent="0.25">
      <c r="A19" s="563" t="s">
        <v>391</v>
      </c>
      <c r="B19" s="558"/>
      <c r="C19" s="558"/>
      <c r="D19" s="559"/>
      <c r="E19" s="469">
        <f>E18*0.25</f>
        <v>-1540326.6990119368</v>
      </c>
      <c r="F19" s="470"/>
      <c r="G19" s="469">
        <f>G18*0.25</f>
        <v>-6272937.11141482</v>
      </c>
      <c r="H19" s="470"/>
      <c r="I19" s="469">
        <f>I18*0.25</f>
        <v>-8131435.4710531235</v>
      </c>
      <c r="J19" s="470"/>
      <c r="K19" s="297">
        <f>K18*0.25</f>
        <v>-26734767.346521378</v>
      </c>
      <c r="L19" s="297">
        <f>L18*0.25</f>
        <v>-108915771.0181675</v>
      </c>
    </row>
    <row r="20" spans="1:12" ht="30.95" customHeight="1" x14ac:dyDescent="0.25">
      <c r="A20" s="560" t="s">
        <v>390</v>
      </c>
      <c r="B20" s="561"/>
      <c r="C20" s="561"/>
      <c r="D20" s="562"/>
      <c r="E20" s="471">
        <f>E18-E19</f>
        <v>-4620980.0970358104</v>
      </c>
      <c r="F20" s="472"/>
      <c r="G20" s="471">
        <f>G18-G19</f>
        <v>-18818811.33424446</v>
      </c>
      <c r="H20" s="472"/>
      <c r="I20" s="471">
        <f>I18-I19</f>
        <v>-24394306.41315937</v>
      </c>
      <c r="J20" s="472"/>
      <c r="K20" s="295">
        <f>+K18-K19</f>
        <v>-80204302.039564133</v>
      </c>
      <c r="L20" s="295">
        <f>+L18-L19</f>
        <v>-326747313.05450249</v>
      </c>
    </row>
    <row r="21" spans="1:12" ht="33" customHeight="1" x14ac:dyDescent="0.25">
      <c r="A21" s="564" t="s">
        <v>389</v>
      </c>
      <c r="B21" s="565"/>
      <c r="C21" s="565"/>
      <c r="D21" s="566"/>
      <c r="E21" s="473">
        <f>E17+E20</f>
        <v>-3795980.0970358104</v>
      </c>
      <c r="F21" s="474"/>
      <c r="G21" s="473">
        <f>G17+G20</f>
        <v>-18818811.33424446</v>
      </c>
      <c r="H21" s="474"/>
      <c r="I21" s="473">
        <f>I17+I20</f>
        <v>-24229306.41315937</v>
      </c>
      <c r="J21" s="474"/>
      <c r="K21" s="298">
        <f>K17+K20</f>
        <v>-80204302.039564133</v>
      </c>
      <c r="L21" s="298">
        <f>L17+L20</f>
        <v>-326714313.05450249</v>
      </c>
    </row>
  </sheetData>
  <mergeCells count="49">
    <mergeCell ref="A21:D21"/>
    <mergeCell ref="E21:F21"/>
    <mergeCell ref="G21:H21"/>
    <mergeCell ref="I21:J21"/>
    <mergeCell ref="A19:D19"/>
    <mergeCell ref="E19:F19"/>
    <mergeCell ref="G19:H19"/>
    <mergeCell ref="I19:J19"/>
    <mergeCell ref="A20:D20"/>
    <mergeCell ref="E20:F20"/>
    <mergeCell ref="G20:H20"/>
    <mergeCell ref="I20:J20"/>
    <mergeCell ref="A17:D17"/>
    <mergeCell ref="E17:F17"/>
    <mergeCell ref="G17:H17"/>
    <mergeCell ref="I17:J17"/>
    <mergeCell ref="A18:D18"/>
    <mergeCell ref="E18:F18"/>
    <mergeCell ref="G18:H18"/>
    <mergeCell ref="I18:J18"/>
    <mergeCell ref="A15:D15"/>
    <mergeCell ref="E15:F15"/>
    <mergeCell ref="G15:H15"/>
    <mergeCell ref="I15:J15"/>
    <mergeCell ref="A16:D16"/>
    <mergeCell ref="E16:F16"/>
    <mergeCell ref="G16:H16"/>
    <mergeCell ref="I16:J16"/>
    <mergeCell ref="A13:D13"/>
    <mergeCell ref="E13:F13"/>
    <mergeCell ref="G13:H13"/>
    <mergeCell ref="I13:J13"/>
    <mergeCell ref="A14:D14"/>
    <mergeCell ref="E14:F14"/>
    <mergeCell ref="G14:H14"/>
    <mergeCell ref="I14:J14"/>
    <mergeCell ref="A11:D11"/>
    <mergeCell ref="E11:F11"/>
    <mergeCell ref="G11:H11"/>
    <mergeCell ref="I11:J11"/>
    <mergeCell ref="A12:D12"/>
    <mergeCell ref="E12:F12"/>
    <mergeCell ref="G12:H12"/>
    <mergeCell ref="I12:J12"/>
    <mergeCell ref="B7:I7"/>
    <mergeCell ref="A10:D10"/>
    <mergeCell ref="E10:F10"/>
    <mergeCell ref="G10:H10"/>
    <mergeCell ref="I10:J1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Footer>&amp;C17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showGridLines="0" zoomScaleNormal="100" workbookViewId="0">
      <selection activeCell="D7" sqref="D7"/>
    </sheetView>
  </sheetViews>
  <sheetFormatPr baseColWidth="10" defaultColWidth="14.42578125" defaultRowHeight="15" customHeight="1" x14ac:dyDescent="0.2"/>
  <cols>
    <col min="1" max="1" width="3.7109375" style="204" customWidth="1"/>
    <col min="2" max="2" width="48.7109375" style="204" bestFit="1" customWidth="1"/>
    <col min="3" max="3" width="13.85546875" style="204" bestFit="1" customWidth="1"/>
    <col min="4" max="4" width="13.7109375" style="204" bestFit="1" customWidth="1"/>
    <col min="5" max="6" width="15" style="204" bestFit="1" customWidth="1"/>
    <col min="7" max="8" width="16.28515625" style="204" bestFit="1" customWidth="1"/>
    <col min="9" max="9" width="11.42578125" style="204" customWidth="1"/>
    <col min="10" max="26" width="10" style="204" customWidth="1"/>
    <col min="27" max="16384" width="14.42578125" style="204"/>
  </cols>
  <sheetData>
    <row r="1" spans="1:26" ht="36.950000000000003" customHeight="1" x14ac:dyDescent="0.25">
      <c r="A1" s="183"/>
      <c r="B1" s="475" t="s">
        <v>323</v>
      </c>
      <c r="C1" s="476"/>
      <c r="D1" s="476"/>
      <c r="E1" s="476"/>
      <c r="F1" s="476"/>
      <c r="G1" s="476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</row>
    <row r="2" spans="1:26" ht="15" customHeight="1" x14ac:dyDescent="0.25">
      <c r="A2" s="183"/>
      <c r="B2" s="183"/>
      <c r="C2" s="183"/>
      <c r="D2" s="183"/>
      <c r="E2" s="183"/>
      <c r="F2" s="184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</row>
    <row r="3" spans="1:26" ht="15" customHeight="1" x14ac:dyDescent="0.25">
      <c r="A3" s="185"/>
      <c r="B3" s="186" t="s">
        <v>324</v>
      </c>
      <c r="C3" s="187">
        <v>0</v>
      </c>
      <c r="D3" s="187">
        <v>1</v>
      </c>
      <c r="E3" s="187">
        <v>2</v>
      </c>
      <c r="F3" s="187">
        <v>3</v>
      </c>
      <c r="G3" s="289">
        <v>4</v>
      </c>
      <c r="H3" s="301">
        <v>5</v>
      </c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</row>
    <row r="4" spans="1:26" ht="15" customHeight="1" x14ac:dyDescent="0.25">
      <c r="A4" s="183"/>
      <c r="B4" s="188" t="s">
        <v>325</v>
      </c>
      <c r="C4" s="189">
        <f>-'Cout total Projet'!J38</f>
        <v>-4500000</v>
      </c>
      <c r="D4" s="189">
        <f>+'Plan_de_TRESR-annuel-PREVS'!B21</f>
        <v>-952973.46271444857</v>
      </c>
      <c r="E4" s="189">
        <f>+'Plan_de_TRESR-annuel-PREVS'!C21</f>
        <v>-20308415.112326026</v>
      </c>
      <c r="F4" s="189">
        <f>+'Plan_de_TRESR-annuel-PREVS'!D21</f>
        <v>-27177408.550879002</v>
      </c>
      <c r="G4" s="290">
        <f>+'Plan_de_TRESR-annuel-PREVS'!E21</f>
        <v>-101355736.05275154</v>
      </c>
      <c r="H4" s="303">
        <f>+'Plan_de_TRESR-annuel-PREVS'!F21</f>
        <v>-429646750.73933411</v>
      </c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</row>
    <row r="5" spans="1:26" ht="15" customHeight="1" x14ac:dyDescent="0.25">
      <c r="A5" s="183"/>
      <c r="B5" s="190" t="s">
        <v>326</v>
      </c>
      <c r="C5" s="191"/>
      <c r="D5" s="189">
        <f>IF(D4="","",D4)</f>
        <v>-952973.46271444857</v>
      </c>
      <c r="E5" s="189">
        <f>IF(E4="","",D5+E4)</f>
        <v>-21261388.575040475</v>
      </c>
      <c r="F5" s="189">
        <f>IF(F4="","",E5+F4)</f>
        <v>-48438797.125919476</v>
      </c>
      <c r="G5" s="290">
        <f>IF(G4="","",F5+G4)</f>
        <v>-149794533.178671</v>
      </c>
      <c r="H5" s="302">
        <f>IF(H4="","",G5+H4)</f>
        <v>-579441283.91800511</v>
      </c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  <c r="U5" s="183"/>
      <c r="V5" s="183"/>
      <c r="W5" s="183"/>
      <c r="X5" s="183"/>
      <c r="Y5" s="183"/>
      <c r="Z5" s="183"/>
    </row>
    <row r="6" spans="1:26" ht="15" customHeight="1" x14ac:dyDescent="0.25">
      <c r="A6" s="183"/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</row>
    <row r="7" spans="1:26" ht="15" customHeight="1" x14ac:dyDescent="0.25">
      <c r="A7" s="183"/>
      <c r="B7" s="185" t="s">
        <v>327</v>
      </c>
      <c r="C7" s="192" t="s">
        <v>328</v>
      </c>
      <c r="D7" s="193" t="e">
        <f>IF(H4 ="","",IRR(C4:H4))</f>
        <v>#NUM!</v>
      </c>
      <c r="E7" s="183"/>
      <c r="F7" s="183"/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/>
      <c r="R7" s="183"/>
      <c r="S7" s="183"/>
      <c r="T7" s="183"/>
      <c r="U7" s="183"/>
      <c r="V7" s="183"/>
      <c r="W7" s="183"/>
      <c r="X7" s="183"/>
      <c r="Y7" s="183"/>
      <c r="Z7" s="183"/>
    </row>
    <row r="8" spans="1:26" ht="15" customHeight="1" x14ac:dyDescent="0.25">
      <c r="A8" s="183"/>
      <c r="B8" s="185"/>
      <c r="C8" s="300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</row>
    <row r="9" spans="1:26" ht="15" customHeight="1" x14ac:dyDescent="0.25">
      <c r="A9" s="183"/>
      <c r="B9" s="185" t="s">
        <v>407</v>
      </c>
      <c r="C9" s="304">
        <v>0.15</v>
      </c>
      <c r="D9" s="291">
        <f>IF(H4="","",NPV(C9,D4,E4,F4,G4+H4)+C4)</f>
        <v>-342156734.57527876</v>
      </c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</row>
    <row r="10" spans="1:26" ht="15" customHeight="1" x14ac:dyDescent="0.25">
      <c r="A10" s="183"/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</row>
    <row r="11" spans="1:26" ht="15" customHeight="1" x14ac:dyDescent="0.25">
      <c r="A11" s="183"/>
      <c r="B11" s="185" t="s">
        <v>329</v>
      </c>
      <c r="C11" s="192" t="s">
        <v>328</v>
      </c>
      <c r="D11" s="194">
        <f>IF(G4="","",IF(-C4&gt;F5,F3,""))</f>
        <v>3</v>
      </c>
      <c r="E11" s="195" t="s">
        <v>330</v>
      </c>
      <c r="F11" s="183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</row>
    <row r="12" spans="1:26" ht="15" customHeight="1" x14ac:dyDescent="0.25">
      <c r="A12" s="183"/>
      <c r="B12" s="185"/>
      <c r="C12" s="183"/>
      <c r="D12" s="196">
        <f>IF(D11="","",ROUNDDOWN((G5+C4)/(G5-F5)*12,0))</f>
        <v>18</v>
      </c>
      <c r="E12" s="197" t="s">
        <v>331</v>
      </c>
      <c r="F12" s="183"/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</row>
    <row r="13" spans="1:26" ht="15" customHeight="1" x14ac:dyDescent="0.25">
      <c r="A13" s="183"/>
      <c r="B13" s="185"/>
      <c r="C13" s="183"/>
      <c r="D13" s="198">
        <f>IF(D12="","",(((G5+C4)/(G5-F5)*12)-10)*30)</f>
        <v>248.03047274415837</v>
      </c>
      <c r="E13" s="199" t="s">
        <v>332</v>
      </c>
      <c r="F13" s="183"/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</row>
    <row r="14" spans="1:26" ht="15" customHeight="1" x14ac:dyDescent="0.25">
      <c r="A14" s="183"/>
      <c r="B14" s="185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</row>
    <row r="15" spans="1:26" ht="15" customHeight="1" x14ac:dyDescent="0.25">
      <c r="A15" s="183"/>
      <c r="B15" s="185" t="s">
        <v>333</v>
      </c>
      <c r="C15" s="192" t="s">
        <v>328</v>
      </c>
      <c r="D15" s="200">
        <f>IF(H4="","",(SUM(D4:H4)/4)/-C4)</f>
        <v>-32.191182439889175</v>
      </c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3"/>
      <c r="U15" s="183"/>
      <c r="V15" s="183"/>
      <c r="W15" s="183"/>
      <c r="X15" s="183"/>
      <c r="Y15" s="183"/>
      <c r="Z15" s="183"/>
    </row>
    <row r="16" spans="1:26" ht="15" customHeight="1" x14ac:dyDescent="0.25">
      <c r="A16" s="183"/>
      <c r="B16" s="185"/>
      <c r="C16" s="183"/>
      <c r="D16" s="183"/>
      <c r="E16" s="183"/>
      <c r="F16" s="183"/>
      <c r="G16" s="192"/>
      <c r="H16" s="201"/>
      <c r="I16" s="185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</row>
    <row r="17" spans="1:26" ht="15" customHeight="1" x14ac:dyDescent="0.25">
      <c r="A17" s="183"/>
      <c r="B17" s="185" t="s">
        <v>334</v>
      </c>
      <c r="C17" s="192" t="s">
        <v>328</v>
      </c>
      <c r="D17" s="202">
        <f>IF(H4="","",SUM(D4:H4)/-C4)</f>
        <v>-128.7647297595567</v>
      </c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</row>
    <row r="18" spans="1:26" ht="15" customHeight="1" x14ac:dyDescent="0.25">
      <c r="A18" s="183"/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</row>
    <row r="19" spans="1:26" ht="15" customHeight="1" x14ac:dyDescent="0.25">
      <c r="A19" s="183"/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3"/>
    </row>
    <row r="20" spans="1:26" ht="15" customHeight="1" x14ac:dyDescent="0.25">
      <c r="A20" s="183"/>
      <c r="B20" s="183"/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3"/>
      <c r="U20" s="183"/>
      <c r="V20" s="183"/>
      <c r="W20" s="183"/>
      <c r="X20" s="183"/>
      <c r="Y20" s="183"/>
      <c r="Z20" s="183"/>
    </row>
    <row r="21" spans="1:26" ht="15" customHeight="1" x14ac:dyDescent="0.25">
      <c r="A21" s="183"/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3"/>
      <c r="T21" s="183"/>
      <c r="U21" s="183"/>
      <c r="V21" s="183"/>
      <c r="W21" s="183"/>
      <c r="X21" s="183"/>
      <c r="Y21" s="183"/>
      <c r="Z21" s="183"/>
    </row>
    <row r="22" spans="1:26" ht="15" customHeight="1" x14ac:dyDescent="0.25">
      <c r="A22" s="183"/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  <c r="R22" s="183"/>
      <c r="S22" s="183"/>
      <c r="T22" s="183"/>
      <c r="U22" s="183"/>
      <c r="V22" s="183"/>
      <c r="W22" s="183"/>
      <c r="X22" s="183"/>
      <c r="Y22" s="183"/>
      <c r="Z22" s="183"/>
    </row>
    <row r="23" spans="1:26" ht="15" customHeight="1" x14ac:dyDescent="0.25">
      <c r="A23" s="183"/>
      <c r="B23" s="183"/>
      <c r="C23" s="183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/>
      <c r="R23" s="183"/>
      <c r="S23" s="183"/>
      <c r="T23" s="183"/>
      <c r="U23" s="183"/>
      <c r="V23" s="183"/>
      <c r="W23" s="183"/>
      <c r="X23" s="183"/>
      <c r="Y23" s="183"/>
      <c r="Z23" s="183"/>
    </row>
    <row r="24" spans="1:26" ht="15" customHeight="1" x14ac:dyDescent="0.25">
      <c r="A24" s="183"/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</row>
    <row r="25" spans="1:26" ht="15" customHeight="1" x14ac:dyDescent="0.25">
      <c r="A25" s="183"/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U25" s="183"/>
      <c r="V25" s="183"/>
      <c r="W25" s="183"/>
      <c r="X25" s="183"/>
      <c r="Y25" s="183"/>
      <c r="Z25" s="183"/>
    </row>
    <row r="26" spans="1:26" ht="15" customHeight="1" x14ac:dyDescent="0.25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</row>
    <row r="27" spans="1:26" ht="15" customHeight="1" x14ac:dyDescent="0.25">
      <c r="A27" s="183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3"/>
      <c r="T27" s="183"/>
      <c r="U27" s="183"/>
      <c r="V27" s="183"/>
      <c r="W27" s="183"/>
      <c r="X27" s="183"/>
      <c r="Y27" s="183"/>
      <c r="Z27" s="183"/>
    </row>
    <row r="28" spans="1:26" ht="15" customHeight="1" x14ac:dyDescent="0.25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3"/>
      <c r="W28" s="183"/>
      <c r="X28" s="183"/>
      <c r="Y28" s="183"/>
      <c r="Z28" s="183"/>
    </row>
    <row r="29" spans="1:26" ht="15" customHeight="1" x14ac:dyDescent="0.25">
      <c r="A29" s="183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3"/>
      <c r="T29" s="183"/>
      <c r="U29" s="183"/>
      <c r="V29" s="183"/>
      <c r="W29" s="183"/>
      <c r="X29" s="183"/>
      <c r="Y29" s="183"/>
      <c r="Z29" s="183"/>
    </row>
    <row r="30" spans="1:26" ht="15" customHeight="1" x14ac:dyDescent="0.25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  <c r="U30" s="183"/>
      <c r="V30" s="183"/>
      <c r="W30" s="183"/>
      <c r="X30" s="183"/>
      <c r="Y30" s="183"/>
      <c r="Z30" s="183"/>
    </row>
    <row r="31" spans="1:26" ht="15" customHeight="1" x14ac:dyDescent="0.25">
      <c r="A31" s="183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  <c r="W31" s="183"/>
      <c r="X31" s="183"/>
      <c r="Y31" s="183"/>
      <c r="Z31" s="183"/>
    </row>
    <row r="32" spans="1:26" ht="15" customHeight="1" x14ac:dyDescent="0.25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3"/>
      <c r="W32" s="183"/>
      <c r="X32" s="183"/>
      <c r="Y32" s="183"/>
      <c r="Z32" s="183"/>
    </row>
    <row r="33" spans="1:26" ht="15" customHeight="1" x14ac:dyDescent="0.25">
      <c r="A33" s="18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3"/>
      <c r="W33" s="183"/>
      <c r="X33" s="183"/>
      <c r="Y33" s="183"/>
      <c r="Z33" s="183"/>
    </row>
    <row r="34" spans="1:26" ht="15" customHeight="1" x14ac:dyDescent="0.25">
      <c r="A34" s="18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</row>
    <row r="35" spans="1:26" ht="15" customHeight="1" x14ac:dyDescent="0.25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3"/>
      <c r="Y35" s="183"/>
      <c r="Z35" s="183"/>
    </row>
    <row r="36" spans="1:26" ht="15" customHeight="1" x14ac:dyDescent="0.25">
      <c r="A36" s="18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</row>
    <row r="37" spans="1:26" ht="15" customHeight="1" x14ac:dyDescent="0.25">
      <c r="A37" s="183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  <c r="V37" s="183"/>
      <c r="W37" s="183"/>
      <c r="X37" s="183"/>
      <c r="Y37" s="183"/>
      <c r="Z37" s="183"/>
    </row>
    <row r="38" spans="1:26" ht="15" customHeight="1" x14ac:dyDescent="0.25">
      <c r="A38" s="183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</row>
    <row r="39" spans="1:26" ht="15" customHeight="1" x14ac:dyDescent="0.25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</row>
    <row r="40" spans="1:26" ht="15" customHeight="1" x14ac:dyDescent="0.25">
      <c r="A40" s="183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</row>
    <row r="41" spans="1:26" ht="15" customHeight="1" x14ac:dyDescent="0.25">
      <c r="A41" s="183"/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</row>
    <row r="42" spans="1:26" ht="15" customHeight="1" x14ac:dyDescent="0.25">
      <c r="A42" s="183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</row>
    <row r="43" spans="1:26" ht="15" customHeight="1" x14ac:dyDescent="0.25">
      <c r="A43" s="183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</row>
    <row r="44" spans="1:26" ht="15" customHeight="1" x14ac:dyDescent="0.25">
      <c r="A44" s="183"/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</row>
    <row r="45" spans="1:26" ht="15" customHeight="1" x14ac:dyDescent="0.25">
      <c r="A45" s="183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</row>
    <row r="46" spans="1:26" ht="15" customHeight="1" x14ac:dyDescent="0.25">
      <c r="A46" s="183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</row>
    <row r="47" spans="1:26" ht="15" customHeight="1" x14ac:dyDescent="0.25">
      <c r="A47" s="183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V47" s="183"/>
      <c r="W47" s="183"/>
      <c r="X47" s="183"/>
      <c r="Y47" s="183"/>
      <c r="Z47" s="183"/>
    </row>
    <row r="48" spans="1:26" ht="15" customHeight="1" x14ac:dyDescent="0.25">
      <c r="A48" s="183"/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</row>
    <row r="49" spans="1:26" ht="15" customHeight="1" x14ac:dyDescent="0.25">
      <c r="A49" s="183"/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</row>
    <row r="50" spans="1:26" ht="15" customHeight="1" x14ac:dyDescent="0.25">
      <c r="A50" s="18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</row>
    <row r="51" spans="1:26" ht="15" customHeight="1" x14ac:dyDescent="0.25">
      <c r="A51" s="18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V51" s="183"/>
      <c r="W51" s="183"/>
      <c r="X51" s="183"/>
      <c r="Y51" s="183"/>
      <c r="Z51" s="183"/>
    </row>
    <row r="52" spans="1:26" ht="15" customHeight="1" x14ac:dyDescent="0.25">
      <c r="A52" s="18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3"/>
      <c r="Y52" s="183"/>
      <c r="Z52" s="183"/>
    </row>
    <row r="53" spans="1:26" ht="15" customHeight="1" x14ac:dyDescent="0.25">
      <c r="A53" s="18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</row>
    <row r="54" spans="1:26" ht="15" customHeight="1" x14ac:dyDescent="0.25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</row>
    <row r="55" spans="1:26" ht="15" customHeight="1" x14ac:dyDescent="0.25">
      <c r="A55" s="18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3"/>
      <c r="Y55" s="183"/>
      <c r="Z55" s="183"/>
    </row>
    <row r="56" spans="1:26" ht="15" customHeight="1" x14ac:dyDescent="0.25">
      <c r="A56" s="18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</row>
    <row r="57" spans="1:26" ht="15" customHeight="1" x14ac:dyDescent="0.25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3"/>
      <c r="Y57" s="183"/>
      <c r="Z57" s="183"/>
    </row>
    <row r="58" spans="1:26" ht="15" customHeight="1" x14ac:dyDescent="0.25">
      <c r="A58" s="18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3"/>
      <c r="Y58" s="183"/>
      <c r="Z58" s="183"/>
    </row>
    <row r="59" spans="1:26" ht="15" customHeight="1" x14ac:dyDescent="0.25">
      <c r="A59" s="18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V59" s="183"/>
      <c r="W59" s="183"/>
      <c r="X59" s="183"/>
      <c r="Y59" s="183"/>
      <c r="Z59" s="183"/>
    </row>
    <row r="60" spans="1:26" ht="15" customHeight="1" x14ac:dyDescent="0.25">
      <c r="A60" s="18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3"/>
      <c r="Y60" s="183"/>
      <c r="Z60" s="183"/>
    </row>
    <row r="61" spans="1:26" ht="15" customHeight="1" x14ac:dyDescent="0.25">
      <c r="A61" s="18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V61" s="183"/>
      <c r="W61" s="183"/>
      <c r="X61" s="183"/>
      <c r="Y61" s="183"/>
      <c r="Z61" s="183"/>
    </row>
    <row r="62" spans="1:26" ht="15" customHeight="1" x14ac:dyDescent="0.25">
      <c r="A62" s="18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3"/>
      <c r="Y62" s="183"/>
      <c r="Z62" s="183"/>
    </row>
    <row r="63" spans="1:26" ht="15" customHeight="1" x14ac:dyDescent="0.25">
      <c r="A63" s="18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3"/>
      <c r="Y63" s="183"/>
      <c r="Z63" s="183"/>
    </row>
    <row r="64" spans="1:26" ht="15" customHeight="1" x14ac:dyDescent="0.25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</row>
    <row r="65" spans="1:26" ht="15" customHeight="1" x14ac:dyDescent="0.25">
      <c r="A65" s="18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3"/>
      <c r="T65" s="183"/>
      <c r="U65" s="183"/>
      <c r="V65" s="183"/>
      <c r="W65" s="183"/>
      <c r="X65" s="183"/>
      <c r="Y65" s="183"/>
      <c r="Z65" s="183"/>
    </row>
    <row r="66" spans="1:26" ht="15" customHeight="1" x14ac:dyDescent="0.25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  <c r="U66" s="183"/>
      <c r="V66" s="183"/>
      <c r="W66" s="183"/>
      <c r="X66" s="183"/>
      <c r="Y66" s="183"/>
      <c r="Z66" s="183"/>
    </row>
    <row r="67" spans="1:26" ht="15" customHeight="1" x14ac:dyDescent="0.25">
      <c r="A67" s="18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V67" s="183"/>
      <c r="W67" s="183"/>
      <c r="X67" s="183"/>
      <c r="Y67" s="183"/>
      <c r="Z67" s="183"/>
    </row>
    <row r="68" spans="1:26" ht="15" customHeight="1" x14ac:dyDescent="0.25">
      <c r="A68" s="183"/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3"/>
      <c r="S68" s="183"/>
      <c r="T68" s="183"/>
      <c r="U68" s="183"/>
      <c r="V68" s="183"/>
      <c r="W68" s="183"/>
      <c r="X68" s="183"/>
      <c r="Y68" s="183"/>
      <c r="Z68" s="183"/>
    </row>
    <row r="69" spans="1:26" ht="15" customHeight="1" x14ac:dyDescent="0.25">
      <c r="A69" s="183"/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V69" s="183"/>
      <c r="W69" s="183"/>
      <c r="X69" s="183"/>
      <c r="Y69" s="183"/>
      <c r="Z69" s="183"/>
    </row>
    <row r="70" spans="1:26" ht="15" customHeight="1" x14ac:dyDescent="0.25">
      <c r="A70" s="183"/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  <c r="V70" s="183"/>
      <c r="W70" s="183"/>
      <c r="X70" s="183"/>
      <c r="Y70" s="183"/>
      <c r="Z70" s="183"/>
    </row>
    <row r="71" spans="1:26" ht="15" customHeight="1" x14ac:dyDescent="0.25">
      <c r="A71" s="183"/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V71" s="183"/>
      <c r="W71" s="183"/>
      <c r="X71" s="183"/>
      <c r="Y71" s="183"/>
      <c r="Z71" s="183"/>
    </row>
    <row r="72" spans="1:26" ht="15" customHeight="1" x14ac:dyDescent="0.25">
      <c r="A72" s="183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V72" s="183"/>
      <c r="W72" s="183"/>
      <c r="X72" s="183"/>
      <c r="Y72" s="183"/>
      <c r="Z72" s="183"/>
    </row>
    <row r="73" spans="1:26" ht="15" customHeight="1" x14ac:dyDescent="0.25">
      <c r="A73" s="183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V73" s="183"/>
      <c r="W73" s="183"/>
      <c r="X73" s="183"/>
      <c r="Y73" s="183"/>
      <c r="Z73" s="183"/>
    </row>
    <row r="74" spans="1:26" ht="15" customHeight="1" x14ac:dyDescent="0.25">
      <c r="A74" s="183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  <c r="T74" s="183"/>
      <c r="U74" s="183"/>
      <c r="V74" s="183"/>
      <c r="W74" s="183"/>
      <c r="X74" s="183"/>
      <c r="Y74" s="183"/>
      <c r="Z74" s="183"/>
    </row>
    <row r="75" spans="1:26" ht="15" customHeight="1" x14ac:dyDescent="0.25">
      <c r="A75" s="183"/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V75" s="183"/>
      <c r="W75" s="183"/>
      <c r="X75" s="183"/>
      <c r="Y75" s="183"/>
      <c r="Z75" s="183"/>
    </row>
    <row r="76" spans="1:26" ht="15" customHeight="1" x14ac:dyDescent="0.25">
      <c r="A76" s="183"/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  <c r="M76" s="183"/>
      <c r="N76" s="183"/>
      <c r="O76" s="183"/>
      <c r="P76" s="183"/>
      <c r="Q76" s="183"/>
      <c r="R76" s="183"/>
      <c r="S76" s="183"/>
      <c r="T76" s="183"/>
      <c r="U76" s="183"/>
      <c r="V76" s="183"/>
      <c r="W76" s="183"/>
      <c r="X76" s="183"/>
      <c r="Y76" s="183"/>
      <c r="Z76" s="183"/>
    </row>
    <row r="77" spans="1:26" ht="15" customHeight="1" x14ac:dyDescent="0.25">
      <c r="A77" s="183"/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  <c r="P77" s="183"/>
      <c r="Q77" s="183"/>
      <c r="R77" s="183"/>
      <c r="S77" s="183"/>
      <c r="T77" s="183"/>
      <c r="U77" s="183"/>
      <c r="V77" s="183"/>
      <c r="W77" s="183"/>
      <c r="X77" s="183"/>
      <c r="Y77" s="183"/>
      <c r="Z77" s="183"/>
    </row>
    <row r="78" spans="1:26" ht="15" customHeight="1" x14ac:dyDescent="0.25">
      <c r="A78" s="183"/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</row>
    <row r="79" spans="1:26" ht="15" customHeight="1" x14ac:dyDescent="0.25">
      <c r="A79" s="183"/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3"/>
      <c r="O79" s="183"/>
      <c r="P79" s="183"/>
      <c r="Q79" s="183"/>
      <c r="R79" s="183"/>
      <c r="S79" s="183"/>
      <c r="T79" s="183"/>
      <c r="U79" s="183"/>
      <c r="V79" s="183"/>
      <c r="W79" s="183"/>
      <c r="X79" s="183"/>
      <c r="Y79" s="183"/>
      <c r="Z79" s="183"/>
    </row>
    <row r="80" spans="1:26" ht="15" customHeight="1" x14ac:dyDescent="0.25">
      <c r="A80" s="183"/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183"/>
      <c r="N80" s="183"/>
      <c r="O80" s="183"/>
      <c r="P80" s="183"/>
      <c r="Q80" s="183"/>
      <c r="R80" s="183"/>
      <c r="S80" s="183"/>
      <c r="T80" s="183"/>
      <c r="U80" s="183"/>
      <c r="V80" s="183"/>
      <c r="W80" s="183"/>
      <c r="X80" s="183"/>
      <c r="Y80" s="183"/>
      <c r="Z80" s="183"/>
    </row>
    <row r="81" spans="1:26" ht="15" customHeight="1" x14ac:dyDescent="0.25">
      <c r="A81" s="183"/>
      <c r="B81" s="183"/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3"/>
      <c r="V81" s="183"/>
      <c r="W81" s="183"/>
      <c r="X81" s="183"/>
      <c r="Y81" s="183"/>
      <c r="Z81" s="183"/>
    </row>
    <row r="82" spans="1:26" ht="15" customHeight="1" x14ac:dyDescent="0.25">
      <c r="A82" s="183"/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83"/>
      <c r="R82" s="183"/>
      <c r="S82" s="183"/>
      <c r="T82" s="183"/>
      <c r="U82" s="183"/>
      <c r="V82" s="183"/>
      <c r="W82" s="183"/>
      <c r="X82" s="183"/>
      <c r="Y82" s="183"/>
      <c r="Z82" s="183"/>
    </row>
    <row r="83" spans="1:26" ht="15" customHeight="1" x14ac:dyDescent="0.25">
      <c r="A83" s="183"/>
      <c r="B83" s="183"/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  <c r="P83" s="183"/>
      <c r="Q83" s="183"/>
      <c r="R83" s="183"/>
      <c r="S83" s="183"/>
      <c r="T83" s="183"/>
      <c r="U83" s="183"/>
      <c r="V83" s="183"/>
      <c r="W83" s="183"/>
      <c r="X83" s="183"/>
      <c r="Y83" s="183"/>
      <c r="Z83" s="183"/>
    </row>
    <row r="84" spans="1:26" ht="15" customHeight="1" x14ac:dyDescent="0.25">
      <c r="A84" s="183"/>
      <c r="B84" s="183"/>
      <c r="C84" s="183"/>
      <c r="D84" s="183"/>
      <c r="E84" s="183"/>
      <c r="F84" s="183"/>
      <c r="G84" s="183"/>
      <c r="H84" s="183"/>
      <c r="I84" s="183"/>
      <c r="J84" s="183"/>
      <c r="K84" s="183"/>
      <c r="L84" s="183"/>
      <c r="M84" s="183"/>
      <c r="N84" s="183"/>
      <c r="O84" s="183"/>
      <c r="P84" s="183"/>
      <c r="Q84" s="183"/>
      <c r="R84" s="183"/>
      <c r="S84" s="183"/>
      <c r="T84" s="183"/>
      <c r="U84" s="183"/>
      <c r="V84" s="183"/>
      <c r="W84" s="183"/>
      <c r="X84" s="183"/>
      <c r="Y84" s="183"/>
      <c r="Z84" s="183"/>
    </row>
    <row r="85" spans="1:26" ht="15" customHeight="1" x14ac:dyDescent="0.25">
      <c r="A85" s="183"/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V85" s="183"/>
      <c r="W85" s="183"/>
      <c r="X85" s="183"/>
      <c r="Y85" s="183"/>
      <c r="Z85" s="183"/>
    </row>
    <row r="86" spans="1:26" ht="15" customHeight="1" x14ac:dyDescent="0.25">
      <c r="A86" s="183"/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  <c r="P86" s="183"/>
      <c r="Q86" s="183"/>
      <c r="R86" s="183"/>
      <c r="S86" s="183"/>
      <c r="T86" s="183"/>
      <c r="U86" s="183"/>
      <c r="V86" s="183"/>
      <c r="W86" s="183"/>
      <c r="X86" s="183"/>
      <c r="Y86" s="183"/>
      <c r="Z86" s="183"/>
    </row>
    <row r="87" spans="1:26" ht="15" customHeight="1" x14ac:dyDescent="0.25">
      <c r="A87" s="183"/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</row>
    <row r="88" spans="1:26" ht="15" customHeight="1" x14ac:dyDescent="0.25">
      <c r="A88" s="183"/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3"/>
      <c r="Q88" s="183"/>
      <c r="R88" s="183"/>
      <c r="S88" s="183"/>
      <c r="T88" s="183"/>
      <c r="U88" s="183"/>
      <c r="V88" s="183"/>
      <c r="W88" s="183"/>
      <c r="X88" s="183"/>
      <c r="Y88" s="183"/>
      <c r="Z88" s="183"/>
    </row>
    <row r="89" spans="1:26" ht="15" customHeight="1" x14ac:dyDescent="0.25">
      <c r="A89" s="183"/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V89" s="183"/>
      <c r="W89" s="183"/>
      <c r="X89" s="183"/>
      <c r="Y89" s="183"/>
      <c r="Z89" s="183"/>
    </row>
    <row r="90" spans="1:26" ht="15" customHeight="1" x14ac:dyDescent="0.25">
      <c r="A90" s="183"/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3"/>
      <c r="Q90" s="183"/>
      <c r="R90" s="183"/>
      <c r="S90" s="183"/>
      <c r="T90" s="183"/>
      <c r="U90" s="183"/>
      <c r="V90" s="183"/>
      <c r="W90" s="183"/>
      <c r="X90" s="183"/>
      <c r="Y90" s="183"/>
      <c r="Z90" s="183"/>
    </row>
    <row r="91" spans="1:26" ht="15" customHeight="1" x14ac:dyDescent="0.25">
      <c r="A91" s="183"/>
      <c r="B91" s="183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83"/>
      <c r="O91" s="183"/>
      <c r="P91" s="183"/>
      <c r="Q91" s="183"/>
      <c r="R91" s="183"/>
      <c r="S91" s="183"/>
      <c r="T91" s="183"/>
      <c r="U91" s="183"/>
      <c r="V91" s="183"/>
      <c r="W91" s="183"/>
      <c r="X91" s="183"/>
      <c r="Y91" s="183"/>
      <c r="Z91" s="183"/>
    </row>
    <row r="92" spans="1:26" ht="15" customHeight="1" x14ac:dyDescent="0.25">
      <c r="A92" s="183"/>
      <c r="B92" s="183"/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3"/>
      <c r="N92" s="183"/>
      <c r="O92" s="183"/>
      <c r="P92" s="183"/>
      <c r="Q92" s="183"/>
      <c r="R92" s="183"/>
      <c r="S92" s="183"/>
      <c r="T92" s="183"/>
      <c r="U92" s="183"/>
      <c r="V92" s="183"/>
      <c r="W92" s="183"/>
      <c r="X92" s="183"/>
      <c r="Y92" s="183"/>
      <c r="Z92" s="183"/>
    </row>
    <row r="93" spans="1:26" ht="15" customHeight="1" x14ac:dyDescent="0.25">
      <c r="A93" s="183"/>
      <c r="B93" s="183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  <c r="V93" s="183"/>
      <c r="W93" s="183"/>
      <c r="X93" s="183"/>
      <c r="Y93" s="183"/>
      <c r="Z93" s="183"/>
    </row>
    <row r="94" spans="1:26" ht="15" customHeight="1" x14ac:dyDescent="0.25">
      <c r="A94" s="183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</row>
    <row r="95" spans="1:26" ht="15" customHeight="1" x14ac:dyDescent="0.25">
      <c r="A95" s="183"/>
      <c r="B95" s="183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</row>
    <row r="96" spans="1:26" ht="15" customHeight="1" x14ac:dyDescent="0.25">
      <c r="A96" s="183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183"/>
      <c r="Y96" s="183"/>
      <c r="Z96" s="183"/>
    </row>
    <row r="97" spans="1:26" ht="15" customHeight="1" x14ac:dyDescent="0.25">
      <c r="A97" s="183"/>
      <c r="B97" s="183"/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V97" s="183"/>
      <c r="W97" s="183"/>
      <c r="X97" s="183"/>
      <c r="Y97" s="183"/>
      <c r="Z97" s="183"/>
    </row>
    <row r="98" spans="1:26" ht="15" customHeight="1" x14ac:dyDescent="0.25">
      <c r="A98" s="183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183"/>
      <c r="O98" s="183"/>
      <c r="P98" s="183"/>
      <c r="Q98" s="183"/>
      <c r="R98" s="183"/>
      <c r="S98" s="183"/>
      <c r="T98" s="183"/>
      <c r="U98" s="183"/>
      <c r="V98" s="183"/>
      <c r="W98" s="183"/>
      <c r="X98" s="183"/>
      <c r="Y98" s="183"/>
      <c r="Z98" s="183"/>
    </row>
    <row r="99" spans="1:26" ht="15" customHeight="1" x14ac:dyDescent="0.25">
      <c r="A99" s="183"/>
      <c r="B99" s="183"/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V99" s="183"/>
      <c r="W99" s="183"/>
      <c r="X99" s="183"/>
      <c r="Y99" s="183"/>
      <c r="Z99" s="183"/>
    </row>
    <row r="100" spans="1:26" ht="15" customHeight="1" x14ac:dyDescent="0.25">
      <c r="A100" s="183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</row>
    <row r="101" spans="1:26" ht="15" customHeight="1" x14ac:dyDescent="0.25">
      <c r="A101" s="183"/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V101" s="183"/>
      <c r="W101" s="183"/>
      <c r="X101" s="183"/>
      <c r="Y101" s="183"/>
      <c r="Z101" s="183"/>
    </row>
    <row r="102" spans="1:26" ht="15" customHeight="1" x14ac:dyDescent="0.25">
      <c r="A102" s="183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3"/>
      <c r="Q102" s="183"/>
      <c r="R102" s="183"/>
      <c r="S102" s="183"/>
      <c r="T102" s="183"/>
      <c r="U102" s="183"/>
      <c r="V102" s="183"/>
      <c r="W102" s="183"/>
      <c r="X102" s="183"/>
      <c r="Y102" s="183"/>
      <c r="Z102" s="183"/>
    </row>
    <row r="103" spans="1:26" ht="15" customHeight="1" x14ac:dyDescent="0.25">
      <c r="A103" s="183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V103" s="183"/>
      <c r="W103" s="183"/>
      <c r="X103" s="183"/>
      <c r="Y103" s="183"/>
      <c r="Z103" s="183"/>
    </row>
    <row r="104" spans="1:26" ht="15" customHeight="1" x14ac:dyDescent="0.25">
      <c r="A104" s="183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</row>
    <row r="105" spans="1:26" ht="15" customHeight="1" x14ac:dyDescent="0.25">
      <c r="A105" s="183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83"/>
      <c r="O105" s="183"/>
      <c r="P105" s="183"/>
      <c r="Q105" s="183"/>
      <c r="R105" s="183"/>
      <c r="S105" s="183"/>
      <c r="T105" s="183"/>
      <c r="U105" s="183"/>
      <c r="V105" s="183"/>
      <c r="W105" s="183"/>
      <c r="X105" s="183"/>
      <c r="Y105" s="183"/>
      <c r="Z105" s="183"/>
    </row>
    <row r="106" spans="1:26" ht="15" customHeight="1" x14ac:dyDescent="0.25">
      <c r="A106" s="183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83"/>
      <c r="O106" s="183"/>
      <c r="P106" s="183"/>
      <c r="Q106" s="183"/>
      <c r="R106" s="183"/>
      <c r="S106" s="183"/>
      <c r="T106" s="183"/>
      <c r="U106" s="183"/>
      <c r="V106" s="183"/>
      <c r="W106" s="183"/>
      <c r="X106" s="183"/>
      <c r="Y106" s="183"/>
      <c r="Z106" s="183"/>
    </row>
    <row r="107" spans="1:26" ht="15" customHeight="1" x14ac:dyDescent="0.25">
      <c r="A107" s="183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183"/>
      <c r="O107" s="183"/>
      <c r="P107" s="183"/>
      <c r="Q107" s="183"/>
      <c r="R107" s="183"/>
      <c r="S107" s="183"/>
      <c r="T107" s="183"/>
      <c r="U107" s="183"/>
      <c r="V107" s="183"/>
      <c r="W107" s="183"/>
      <c r="X107" s="183"/>
      <c r="Y107" s="183"/>
      <c r="Z107" s="183"/>
    </row>
    <row r="108" spans="1:26" ht="15" customHeight="1" x14ac:dyDescent="0.25">
      <c r="A108" s="183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183"/>
      <c r="O108" s="183"/>
      <c r="P108" s="183"/>
      <c r="Q108" s="183"/>
      <c r="R108" s="183"/>
      <c r="S108" s="183"/>
      <c r="T108" s="183"/>
      <c r="U108" s="183"/>
      <c r="V108" s="183"/>
      <c r="W108" s="183"/>
      <c r="X108" s="183"/>
      <c r="Y108" s="183"/>
      <c r="Z108" s="183"/>
    </row>
    <row r="109" spans="1:26" ht="15" customHeight="1" x14ac:dyDescent="0.25">
      <c r="A109" s="183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3"/>
      <c r="T109" s="183"/>
      <c r="U109" s="183"/>
      <c r="V109" s="183"/>
      <c r="W109" s="183"/>
      <c r="X109" s="183"/>
      <c r="Y109" s="183"/>
      <c r="Z109" s="183"/>
    </row>
    <row r="110" spans="1:26" ht="15" customHeight="1" x14ac:dyDescent="0.25">
      <c r="A110" s="183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  <c r="O110" s="183"/>
      <c r="P110" s="183"/>
      <c r="Q110" s="183"/>
      <c r="R110" s="183"/>
      <c r="S110" s="183"/>
      <c r="T110" s="183"/>
      <c r="U110" s="183"/>
      <c r="V110" s="183"/>
      <c r="W110" s="183"/>
      <c r="X110" s="183"/>
      <c r="Y110" s="183"/>
      <c r="Z110" s="183"/>
    </row>
    <row r="111" spans="1:26" ht="15" customHeight="1" x14ac:dyDescent="0.25">
      <c r="A111" s="183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83"/>
      <c r="Q111" s="183"/>
      <c r="R111" s="183"/>
      <c r="S111" s="183"/>
      <c r="T111" s="183"/>
      <c r="U111" s="183"/>
      <c r="V111" s="183"/>
      <c r="W111" s="183"/>
      <c r="X111" s="183"/>
      <c r="Y111" s="183"/>
      <c r="Z111" s="183"/>
    </row>
    <row r="112" spans="1:26" ht="15" customHeight="1" x14ac:dyDescent="0.25">
      <c r="A112" s="183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183"/>
      <c r="O112" s="183"/>
      <c r="P112" s="183"/>
      <c r="Q112" s="183"/>
      <c r="R112" s="183"/>
      <c r="S112" s="183"/>
      <c r="T112" s="183"/>
      <c r="U112" s="183"/>
      <c r="V112" s="183"/>
      <c r="W112" s="183"/>
      <c r="X112" s="183"/>
      <c r="Y112" s="183"/>
      <c r="Z112" s="183"/>
    </row>
    <row r="113" spans="1:26" ht="15" customHeight="1" x14ac:dyDescent="0.25">
      <c r="A113" s="183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83"/>
      <c r="O113" s="183"/>
      <c r="P113" s="183"/>
      <c r="Q113" s="183"/>
      <c r="R113" s="183"/>
      <c r="S113" s="183"/>
      <c r="T113" s="183"/>
      <c r="U113" s="183"/>
      <c r="V113" s="183"/>
      <c r="W113" s="183"/>
      <c r="X113" s="183"/>
      <c r="Y113" s="183"/>
      <c r="Z113" s="183"/>
    </row>
    <row r="114" spans="1:26" ht="15" customHeight="1" x14ac:dyDescent="0.25">
      <c r="A114" s="183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</row>
    <row r="115" spans="1:26" ht="15" customHeight="1" x14ac:dyDescent="0.25">
      <c r="A115" s="183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</row>
    <row r="116" spans="1:26" ht="15" customHeight="1" x14ac:dyDescent="0.25">
      <c r="A116" s="183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  <c r="O116" s="183"/>
      <c r="P116" s="183"/>
      <c r="Q116" s="183"/>
      <c r="R116" s="183"/>
      <c r="S116" s="183"/>
      <c r="T116" s="183"/>
      <c r="U116" s="183"/>
      <c r="V116" s="183"/>
      <c r="W116" s="183"/>
      <c r="X116" s="183"/>
      <c r="Y116" s="183"/>
      <c r="Z116" s="183"/>
    </row>
    <row r="117" spans="1:26" ht="15" customHeight="1" x14ac:dyDescent="0.25">
      <c r="A117" s="183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83"/>
      <c r="O117" s="183"/>
      <c r="P117" s="183"/>
      <c r="Q117" s="183"/>
      <c r="R117" s="183"/>
      <c r="S117" s="183"/>
      <c r="T117" s="183"/>
      <c r="U117" s="183"/>
      <c r="V117" s="183"/>
      <c r="W117" s="183"/>
      <c r="X117" s="183"/>
      <c r="Y117" s="183"/>
      <c r="Z117" s="183"/>
    </row>
    <row r="118" spans="1:26" ht="15" customHeight="1" x14ac:dyDescent="0.25">
      <c r="A118" s="183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3"/>
    </row>
    <row r="119" spans="1:26" ht="15" customHeight="1" x14ac:dyDescent="0.25">
      <c r="A119" s="183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83"/>
      <c r="O119" s="183"/>
      <c r="P119" s="183"/>
      <c r="Q119" s="183"/>
      <c r="R119" s="183"/>
      <c r="S119" s="183"/>
      <c r="T119" s="183"/>
      <c r="U119" s="183"/>
      <c r="V119" s="183"/>
      <c r="W119" s="183"/>
      <c r="X119" s="183"/>
      <c r="Y119" s="183"/>
      <c r="Z119" s="183"/>
    </row>
    <row r="120" spans="1:26" ht="15" customHeight="1" x14ac:dyDescent="0.25">
      <c r="A120" s="183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83"/>
      <c r="O120" s="183"/>
      <c r="P120" s="183"/>
      <c r="Q120" s="183"/>
      <c r="R120" s="183"/>
      <c r="S120" s="183"/>
      <c r="T120" s="183"/>
      <c r="U120" s="183"/>
      <c r="V120" s="183"/>
      <c r="W120" s="183"/>
      <c r="X120" s="183"/>
      <c r="Y120" s="183"/>
      <c r="Z120" s="183"/>
    </row>
    <row r="121" spans="1:26" ht="15" customHeight="1" x14ac:dyDescent="0.25">
      <c r="A121" s="183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83"/>
      <c r="O121" s="183"/>
      <c r="P121" s="183"/>
      <c r="Q121" s="183"/>
      <c r="R121" s="183"/>
      <c r="S121" s="183"/>
      <c r="T121" s="183"/>
      <c r="U121" s="183"/>
      <c r="V121" s="183"/>
      <c r="W121" s="183"/>
      <c r="X121" s="183"/>
      <c r="Y121" s="183"/>
      <c r="Z121" s="183"/>
    </row>
    <row r="122" spans="1:26" ht="15" customHeight="1" x14ac:dyDescent="0.25">
      <c r="A122" s="183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183"/>
      <c r="O122" s="183"/>
      <c r="P122" s="183"/>
      <c r="Q122" s="183"/>
      <c r="R122" s="183"/>
      <c r="S122" s="183"/>
      <c r="T122" s="183"/>
      <c r="U122" s="183"/>
      <c r="V122" s="183"/>
      <c r="W122" s="183"/>
      <c r="X122" s="183"/>
      <c r="Y122" s="183"/>
      <c r="Z122" s="183"/>
    </row>
    <row r="123" spans="1:26" ht="15" customHeight="1" x14ac:dyDescent="0.25">
      <c r="A123" s="183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3"/>
      <c r="W123" s="183"/>
      <c r="X123" s="183"/>
      <c r="Y123" s="183"/>
      <c r="Z123" s="183"/>
    </row>
    <row r="124" spans="1:26" ht="15" customHeight="1" x14ac:dyDescent="0.25">
      <c r="A124" s="183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</row>
    <row r="125" spans="1:26" ht="15" customHeight="1" x14ac:dyDescent="0.25">
      <c r="A125" s="183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3"/>
      <c r="Q125" s="183"/>
      <c r="R125" s="183"/>
      <c r="S125" s="183"/>
      <c r="T125" s="183"/>
      <c r="U125" s="183"/>
      <c r="V125" s="183"/>
      <c r="W125" s="183"/>
      <c r="X125" s="183"/>
      <c r="Y125" s="183"/>
      <c r="Z125" s="183"/>
    </row>
    <row r="126" spans="1:26" ht="15" customHeight="1" x14ac:dyDescent="0.25">
      <c r="A126" s="183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3"/>
    </row>
    <row r="127" spans="1:26" ht="15" customHeight="1" x14ac:dyDescent="0.25">
      <c r="A127" s="183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183"/>
      <c r="O127" s="183"/>
      <c r="P127" s="183"/>
      <c r="Q127" s="183"/>
      <c r="R127" s="183"/>
      <c r="S127" s="183"/>
      <c r="T127" s="183"/>
      <c r="U127" s="183"/>
      <c r="V127" s="183"/>
      <c r="W127" s="183"/>
      <c r="X127" s="183"/>
      <c r="Y127" s="183"/>
      <c r="Z127" s="183"/>
    </row>
    <row r="128" spans="1:26" ht="15" customHeight="1" x14ac:dyDescent="0.25">
      <c r="A128" s="183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183"/>
      <c r="O128" s="183"/>
      <c r="P128" s="183"/>
      <c r="Q128" s="183"/>
      <c r="R128" s="183"/>
      <c r="S128" s="183"/>
      <c r="T128" s="183"/>
      <c r="U128" s="183"/>
      <c r="V128" s="183"/>
      <c r="W128" s="183"/>
      <c r="X128" s="183"/>
      <c r="Y128" s="183"/>
      <c r="Z128" s="183"/>
    </row>
    <row r="129" spans="1:26" ht="15" customHeight="1" x14ac:dyDescent="0.25">
      <c r="A129" s="183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183"/>
      <c r="O129" s="183"/>
      <c r="P129" s="183"/>
      <c r="Q129" s="183"/>
      <c r="R129" s="183"/>
      <c r="S129" s="183"/>
      <c r="T129" s="183"/>
      <c r="U129" s="183"/>
      <c r="V129" s="183"/>
      <c r="W129" s="183"/>
      <c r="X129" s="183"/>
      <c r="Y129" s="183"/>
      <c r="Z129" s="183"/>
    </row>
    <row r="130" spans="1:26" ht="15" customHeight="1" x14ac:dyDescent="0.25">
      <c r="A130" s="18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183"/>
      <c r="O130" s="183"/>
      <c r="P130" s="183"/>
      <c r="Q130" s="183"/>
      <c r="R130" s="183"/>
      <c r="S130" s="183"/>
      <c r="T130" s="183"/>
      <c r="U130" s="183"/>
      <c r="V130" s="183"/>
      <c r="W130" s="183"/>
      <c r="X130" s="183"/>
      <c r="Y130" s="183"/>
      <c r="Z130" s="183"/>
    </row>
    <row r="131" spans="1:26" ht="15" customHeight="1" x14ac:dyDescent="0.25">
      <c r="A131" s="18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</row>
    <row r="132" spans="1:26" ht="15" customHeight="1" x14ac:dyDescent="0.25">
      <c r="A132" s="183"/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3"/>
      <c r="X132" s="183"/>
      <c r="Y132" s="183"/>
      <c r="Z132" s="183"/>
    </row>
    <row r="133" spans="1:26" ht="15" customHeight="1" x14ac:dyDescent="0.25">
      <c r="A133" s="183"/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3"/>
      <c r="Y133" s="183"/>
      <c r="Z133" s="183"/>
    </row>
    <row r="134" spans="1:26" ht="15" customHeight="1" x14ac:dyDescent="0.25">
      <c r="A134" s="183"/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  <c r="O134" s="183"/>
      <c r="P134" s="183"/>
      <c r="Q134" s="183"/>
      <c r="R134" s="183"/>
      <c r="S134" s="183"/>
      <c r="T134" s="183"/>
      <c r="U134" s="183"/>
      <c r="V134" s="183"/>
      <c r="W134" s="183"/>
      <c r="X134" s="183"/>
      <c r="Y134" s="183"/>
      <c r="Z134" s="183"/>
    </row>
    <row r="135" spans="1:26" ht="15" customHeight="1" x14ac:dyDescent="0.25">
      <c r="A135" s="183"/>
      <c r="B135" s="183"/>
      <c r="C135" s="18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183"/>
      <c r="S135" s="183"/>
      <c r="T135" s="183"/>
      <c r="U135" s="183"/>
      <c r="V135" s="183"/>
      <c r="W135" s="183"/>
      <c r="X135" s="183"/>
      <c r="Y135" s="183"/>
      <c r="Z135" s="183"/>
    </row>
    <row r="136" spans="1:26" ht="15" customHeight="1" x14ac:dyDescent="0.25">
      <c r="A136" s="183"/>
      <c r="B136" s="183"/>
      <c r="C136" s="183"/>
      <c r="D136" s="183"/>
      <c r="E136" s="183"/>
      <c r="F136" s="183"/>
      <c r="G136" s="183"/>
      <c r="H136" s="183"/>
      <c r="I136" s="183"/>
      <c r="J136" s="183"/>
      <c r="K136" s="183"/>
      <c r="L136" s="183"/>
      <c r="M136" s="183"/>
      <c r="N136" s="183"/>
      <c r="O136" s="183"/>
      <c r="P136" s="183"/>
      <c r="Q136" s="183"/>
      <c r="R136" s="183"/>
      <c r="S136" s="183"/>
      <c r="T136" s="183"/>
      <c r="U136" s="183"/>
      <c r="V136" s="183"/>
      <c r="W136" s="183"/>
      <c r="X136" s="183"/>
      <c r="Y136" s="183"/>
      <c r="Z136" s="183"/>
    </row>
    <row r="137" spans="1:26" ht="15" customHeight="1" x14ac:dyDescent="0.25">
      <c r="A137" s="183"/>
      <c r="B137" s="183"/>
      <c r="C137" s="183"/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  <c r="O137" s="183"/>
      <c r="P137" s="183"/>
      <c r="Q137" s="183"/>
      <c r="R137" s="183"/>
      <c r="S137" s="183"/>
      <c r="T137" s="183"/>
      <c r="U137" s="183"/>
      <c r="V137" s="183"/>
      <c r="W137" s="183"/>
      <c r="X137" s="183"/>
      <c r="Y137" s="183"/>
      <c r="Z137" s="183"/>
    </row>
    <row r="138" spans="1:26" ht="15" customHeight="1" x14ac:dyDescent="0.25">
      <c r="A138" s="183"/>
      <c r="B138" s="183"/>
      <c r="C138" s="183"/>
      <c r="D138" s="183"/>
      <c r="E138" s="183"/>
      <c r="F138" s="183"/>
      <c r="G138" s="183"/>
      <c r="H138" s="183"/>
      <c r="I138" s="183"/>
      <c r="J138" s="183"/>
      <c r="K138" s="183"/>
      <c r="L138" s="183"/>
      <c r="M138" s="183"/>
      <c r="N138" s="183"/>
      <c r="O138" s="183"/>
      <c r="P138" s="183"/>
      <c r="Q138" s="183"/>
      <c r="R138" s="183"/>
      <c r="S138" s="183"/>
      <c r="T138" s="183"/>
      <c r="U138" s="183"/>
      <c r="V138" s="183"/>
      <c r="W138" s="183"/>
      <c r="X138" s="183"/>
      <c r="Y138" s="183"/>
      <c r="Z138" s="183"/>
    </row>
    <row r="139" spans="1:26" ht="15" customHeight="1" x14ac:dyDescent="0.25">
      <c r="A139" s="183"/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  <c r="L139" s="183"/>
      <c r="M139" s="183"/>
      <c r="N139" s="183"/>
      <c r="O139" s="183"/>
      <c r="P139" s="183"/>
      <c r="Q139" s="183"/>
      <c r="R139" s="183"/>
      <c r="S139" s="183"/>
      <c r="T139" s="183"/>
      <c r="U139" s="183"/>
      <c r="V139" s="183"/>
      <c r="W139" s="183"/>
      <c r="X139" s="183"/>
      <c r="Y139" s="183"/>
      <c r="Z139" s="183"/>
    </row>
    <row r="140" spans="1:26" ht="15" customHeight="1" x14ac:dyDescent="0.25">
      <c r="A140" s="183"/>
      <c r="B140" s="183"/>
      <c r="C140" s="183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183"/>
      <c r="O140" s="183"/>
      <c r="P140" s="183"/>
      <c r="Q140" s="183"/>
      <c r="R140" s="183"/>
      <c r="S140" s="183"/>
      <c r="T140" s="183"/>
      <c r="U140" s="183"/>
      <c r="V140" s="183"/>
      <c r="W140" s="183"/>
      <c r="X140" s="183"/>
      <c r="Y140" s="183"/>
      <c r="Z140" s="183"/>
    </row>
    <row r="141" spans="1:26" ht="15" customHeight="1" x14ac:dyDescent="0.25">
      <c r="A141" s="183"/>
      <c r="B141" s="183"/>
      <c r="C141" s="183"/>
      <c r="D141" s="183"/>
      <c r="E141" s="183"/>
      <c r="F141" s="183"/>
      <c r="G141" s="183"/>
      <c r="H141" s="183"/>
      <c r="I141" s="183"/>
      <c r="J141" s="183"/>
      <c r="K141" s="183"/>
      <c r="L141" s="183"/>
      <c r="M141" s="183"/>
      <c r="N141" s="183"/>
      <c r="O141" s="183"/>
      <c r="P141" s="183"/>
      <c r="Q141" s="183"/>
      <c r="R141" s="183"/>
      <c r="S141" s="183"/>
      <c r="T141" s="183"/>
      <c r="U141" s="183"/>
      <c r="V141" s="183"/>
      <c r="W141" s="183"/>
      <c r="X141" s="183"/>
      <c r="Y141" s="183"/>
      <c r="Z141" s="183"/>
    </row>
    <row r="142" spans="1:26" ht="15" customHeight="1" x14ac:dyDescent="0.25">
      <c r="A142" s="183"/>
      <c r="B142" s="183"/>
      <c r="C142" s="183"/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  <c r="O142" s="183"/>
      <c r="P142" s="183"/>
      <c r="Q142" s="183"/>
      <c r="R142" s="183"/>
      <c r="S142" s="183"/>
      <c r="T142" s="183"/>
      <c r="U142" s="183"/>
      <c r="V142" s="183"/>
      <c r="W142" s="183"/>
      <c r="X142" s="183"/>
      <c r="Y142" s="183"/>
      <c r="Z142" s="183"/>
    </row>
    <row r="143" spans="1:26" ht="15" customHeight="1" x14ac:dyDescent="0.25">
      <c r="A143" s="183"/>
      <c r="B143" s="183"/>
      <c r="C143" s="183"/>
      <c r="D143" s="183"/>
      <c r="E143" s="183"/>
      <c r="F143" s="183"/>
      <c r="G143" s="183"/>
      <c r="H143" s="183"/>
      <c r="I143" s="183"/>
      <c r="J143" s="183"/>
      <c r="K143" s="183"/>
      <c r="L143" s="183"/>
      <c r="M143" s="183"/>
      <c r="N143" s="183"/>
      <c r="O143" s="183"/>
      <c r="P143" s="183"/>
      <c r="Q143" s="183"/>
      <c r="R143" s="183"/>
      <c r="S143" s="183"/>
      <c r="T143" s="183"/>
      <c r="U143" s="183"/>
      <c r="V143" s="183"/>
      <c r="W143" s="183"/>
      <c r="X143" s="183"/>
      <c r="Y143" s="183"/>
      <c r="Z143" s="183"/>
    </row>
    <row r="144" spans="1:26" ht="15" customHeight="1" x14ac:dyDescent="0.25">
      <c r="A144" s="183"/>
      <c r="B144" s="183"/>
      <c r="C144" s="183"/>
      <c r="D144" s="183"/>
      <c r="E144" s="183"/>
      <c r="F144" s="183"/>
      <c r="G144" s="183"/>
      <c r="H144" s="183"/>
      <c r="I144" s="183"/>
      <c r="J144" s="183"/>
      <c r="K144" s="183"/>
      <c r="L144" s="183"/>
      <c r="M144" s="183"/>
      <c r="N144" s="183"/>
      <c r="O144" s="183"/>
      <c r="P144" s="183"/>
      <c r="Q144" s="183"/>
      <c r="R144" s="183"/>
      <c r="S144" s="183"/>
      <c r="T144" s="183"/>
      <c r="U144" s="183"/>
      <c r="V144" s="183"/>
      <c r="W144" s="183"/>
      <c r="X144" s="183"/>
      <c r="Y144" s="183"/>
      <c r="Z144" s="183"/>
    </row>
    <row r="145" spans="1:26" ht="15" customHeight="1" x14ac:dyDescent="0.25">
      <c r="A145" s="183"/>
      <c r="B145" s="183"/>
      <c r="C145" s="183"/>
      <c r="D145" s="183"/>
      <c r="E145" s="183"/>
      <c r="F145" s="183"/>
      <c r="G145" s="183"/>
      <c r="H145" s="183"/>
      <c r="I145" s="183"/>
      <c r="J145" s="183"/>
      <c r="K145" s="183"/>
      <c r="L145" s="183"/>
      <c r="M145" s="183"/>
      <c r="N145" s="183"/>
      <c r="O145" s="183"/>
      <c r="P145" s="183"/>
      <c r="Q145" s="183"/>
      <c r="R145" s="183"/>
      <c r="S145" s="183"/>
      <c r="T145" s="183"/>
      <c r="U145" s="183"/>
      <c r="V145" s="183"/>
      <c r="W145" s="183"/>
      <c r="X145" s="183"/>
      <c r="Y145" s="183"/>
      <c r="Z145" s="183"/>
    </row>
    <row r="146" spans="1:26" ht="15" customHeight="1" x14ac:dyDescent="0.25">
      <c r="A146" s="183"/>
      <c r="B146" s="183"/>
      <c r="C146" s="183"/>
      <c r="D146" s="183"/>
      <c r="E146" s="183"/>
      <c r="F146" s="183"/>
      <c r="G146" s="183"/>
      <c r="H146" s="183"/>
      <c r="I146" s="183"/>
      <c r="J146" s="183"/>
      <c r="K146" s="183"/>
      <c r="L146" s="183"/>
      <c r="M146" s="183"/>
      <c r="N146" s="183"/>
      <c r="O146" s="183"/>
      <c r="P146" s="183"/>
      <c r="Q146" s="183"/>
      <c r="R146" s="183"/>
      <c r="S146" s="183"/>
      <c r="T146" s="183"/>
      <c r="U146" s="183"/>
      <c r="V146" s="183"/>
      <c r="W146" s="183"/>
      <c r="X146" s="183"/>
      <c r="Y146" s="183"/>
      <c r="Z146" s="183"/>
    </row>
    <row r="147" spans="1:26" ht="15" customHeight="1" x14ac:dyDescent="0.25">
      <c r="A147" s="183"/>
      <c r="B147" s="183"/>
      <c r="C147" s="183"/>
      <c r="D147" s="183"/>
      <c r="E147" s="183"/>
      <c r="F147" s="183"/>
      <c r="G147" s="183"/>
      <c r="H147" s="183"/>
      <c r="I147" s="183"/>
      <c r="J147" s="183"/>
      <c r="K147" s="183"/>
      <c r="L147" s="183"/>
      <c r="M147" s="183"/>
      <c r="N147" s="183"/>
      <c r="O147" s="183"/>
      <c r="P147" s="183"/>
      <c r="Q147" s="183"/>
      <c r="R147" s="183"/>
      <c r="S147" s="183"/>
      <c r="T147" s="183"/>
      <c r="U147" s="183"/>
      <c r="V147" s="183"/>
      <c r="W147" s="183"/>
      <c r="X147" s="183"/>
      <c r="Y147" s="183"/>
      <c r="Z147" s="183"/>
    </row>
    <row r="148" spans="1:26" ht="15" customHeight="1" x14ac:dyDescent="0.25">
      <c r="A148" s="183"/>
      <c r="B148" s="183"/>
      <c r="C148" s="183"/>
      <c r="D148" s="183"/>
      <c r="E148" s="183"/>
      <c r="F148" s="183"/>
      <c r="G148" s="183"/>
      <c r="H148" s="183"/>
      <c r="I148" s="183"/>
      <c r="J148" s="183"/>
      <c r="K148" s="183"/>
      <c r="L148" s="183"/>
      <c r="M148" s="183"/>
      <c r="N148" s="183"/>
      <c r="O148" s="183"/>
      <c r="P148" s="183"/>
      <c r="Q148" s="183"/>
      <c r="R148" s="183"/>
      <c r="S148" s="183"/>
      <c r="T148" s="183"/>
      <c r="U148" s="183"/>
      <c r="V148" s="183"/>
      <c r="W148" s="183"/>
      <c r="X148" s="183"/>
      <c r="Y148" s="183"/>
      <c r="Z148" s="183"/>
    </row>
    <row r="149" spans="1:26" ht="15" customHeight="1" x14ac:dyDescent="0.25">
      <c r="A149" s="183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183"/>
      <c r="O149" s="183"/>
      <c r="P149" s="183"/>
      <c r="Q149" s="183"/>
      <c r="R149" s="183"/>
      <c r="S149" s="183"/>
      <c r="T149" s="183"/>
      <c r="U149" s="183"/>
      <c r="V149" s="183"/>
      <c r="W149" s="183"/>
      <c r="X149" s="183"/>
      <c r="Y149" s="183"/>
      <c r="Z149" s="183"/>
    </row>
    <row r="150" spans="1:26" ht="15" customHeight="1" x14ac:dyDescent="0.25">
      <c r="A150" s="183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83"/>
      <c r="Q150" s="183"/>
      <c r="R150" s="183"/>
      <c r="S150" s="183"/>
      <c r="T150" s="183"/>
      <c r="U150" s="183"/>
      <c r="V150" s="183"/>
      <c r="W150" s="183"/>
      <c r="X150" s="183"/>
      <c r="Y150" s="183"/>
      <c r="Z150" s="183"/>
    </row>
    <row r="151" spans="1:26" ht="15" customHeight="1" x14ac:dyDescent="0.25">
      <c r="A151" s="183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3"/>
      <c r="Z151" s="183"/>
    </row>
    <row r="152" spans="1:26" ht="15" customHeight="1" x14ac:dyDescent="0.25">
      <c r="A152" s="183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183"/>
      <c r="O152" s="183"/>
      <c r="P152" s="183"/>
      <c r="Q152" s="183"/>
      <c r="R152" s="183"/>
      <c r="S152" s="183"/>
      <c r="T152" s="183"/>
      <c r="U152" s="183"/>
      <c r="V152" s="183"/>
      <c r="W152" s="183"/>
      <c r="X152" s="183"/>
      <c r="Y152" s="183"/>
      <c r="Z152" s="183"/>
    </row>
    <row r="153" spans="1:26" ht="15" customHeight="1" x14ac:dyDescent="0.25">
      <c r="A153" s="183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183"/>
      <c r="O153" s="183"/>
      <c r="P153" s="183"/>
      <c r="Q153" s="183"/>
      <c r="R153" s="183"/>
      <c r="S153" s="183"/>
      <c r="T153" s="183"/>
      <c r="U153" s="183"/>
      <c r="V153" s="183"/>
      <c r="W153" s="183"/>
      <c r="X153" s="183"/>
      <c r="Y153" s="183"/>
      <c r="Z153" s="183"/>
    </row>
    <row r="154" spans="1:26" ht="15" customHeight="1" x14ac:dyDescent="0.25">
      <c r="A154" s="183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183"/>
      <c r="O154" s="183"/>
      <c r="P154" s="183"/>
      <c r="Q154" s="183"/>
      <c r="R154" s="183"/>
      <c r="S154" s="183"/>
      <c r="T154" s="183"/>
      <c r="U154" s="183"/>
      <c r="V154" s="183"/>
      <c r="W154" s="183"/>
      <c r="X154" s="183"/>
      <c r="Y154" s="183"/>
      <c r="Z154" s="183"/>
    </row>
    <row r="155" spans="1:26" ht="15" customHeight="1" x14ac:dyDescent="0.25">
      <c r="A155" s="183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83"/>
      <c r="Q155" s="183"/>
      <c r="R155" s="183"/>
      <c r="S155" s="183"/>
      <c r="T155" s="183"/>
      <c r="U155" s="183"/>
      <c r="V155" s="183"/>
      <c r="W155" s="183"/>
      <c r="X155" s="183"/>
      <c r="Y155" s="183"/>
      <c r="Z155" s="183"/>
    </row>
    <row r="156" spans="1:26" ht="15" customHeight="1" x14ac:dyDescent="0.25">
      <c r="A156" s="183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83"/>
      <c r="Q156" s="183"/>
      <c r="R156" s="183"/>
      <c r="S156" s="183"/>
      <c r="T156" s="183"/>
      <c r="U156" s="183"/>
      <c r="V156" s="183"/>
      <c r="W156" s="183"/>
      <c r="X156" s="183"/>
      <c r="Y156" s="183"/>
      <c r="Z156" s="183"/>
    </row>
    <row r="157" spans="1:26" ht="15" customHeight="1" x14ac:dyDescent="0.25">
      <c r="A157" s="183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  <c r="O157" s="183"/>
      <c r="P157" s="183"/>
      <c r="Q157" s="183"/>
      <c r="R157" s="183"/>
      <c r="S157" s="183"/>
      <c r="T157" s="183"/>
      <c r="U157" s="183"/>
      <c r="V157" s="183"/>
      <c r="W157" s="183"/>
      <c r="X157" s="183"/>
      <c r="Y157" s="183"/>
      <c r="Z157" s="183"/>
    </row>
    <row r="158" spans="1:26" ht="15" customHeight="1" x14ac:dyDescent="0.25">
      <c r="A158" s="183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183"/>
      <c r="O158" s="183"/>
      <c r="P158" s="183"/>
      <c r="Q158" s="183"/>
      <c r="R158" s="183"/>
      <c r="S158" s="183"/>
      <c r="T158" s="183"/>
      <c r="U158" s="183"/>
      <c r="V158" s="183"/>
      <c r="W158" s="183"/>
      <c r="X158" s="183"/>
      <c r="Y158" s="183"/>
      <c r="Z158" s="183"/>
    </row>
    <row r="159" spans="1:26" ht="15" customHeight="1" x14ac:dyDescent="0.25">
      <c r="A159" s="183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183"/>
      <c r="O159" s="183"/>
      <c r="P159" s="183"/>
      <c r="Q159" s="183"/>
      <c r="R159" s="183"/>
      <c r="S159" s="183"/>
      <c r="T159" s="183"/>
      <c r="U159" s="183"/>
      <c r="V159" s="183"/>
      <c r="W159" s="183"/>
      <c r="X159" s="183"/>
      <c r="Y159" s="183"/>
      <c r="Z159" s="183"/>
    </row>
    <row r="160" spans="1:26" ht="15" customHeight="1" x14ac:dyDescent="0.25">
      <c r="A160" s="183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83"/>
      <c r="O160" s="183"/>
      <c r="P160" s="183"/>
      <c r="Q160" s="183"/>
      <c r="R160" s="183"/>
      <c r="S160" s="183"/>
      <c r="T160" s="183"/>
      <c r="U160" s="183"/>
      <c r="V160" s="183"/>
      <c r="W160" s="183"/>
      <c r="X160" s="183"/>
      <c r="Y160" s="183"/>
      <c r="Z160" s="183"/>
    </row>
    <row r="161" spans="1:26" ht="15" customHeight="1" x14ac:dyDescent="0.25">
      <c r="A161" s="183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183"/>
      <c r="O161" s="183"/>
      <c r="P161" s="183"/>
      <c r="Q161" s="183"/>
      <c r="R161" s="183"/>
      <c r="S161" s="183"/>
      <c r="T161" s="183"/>
      <c r="U161" s="183"/>
      <c r="V161" s="183"/>
      <c r="W161" s="183"/>
      <c r="X161" s="183"/>
      <c r="Y161" s="183"/>
      <c r="Z161" s="183"/>
    </row>
    <row r="162" spans="1:26" ht="15" customHeight="1" x14ac:dyDescent="0.25">
      <c r="A162" s="183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83"/>
      <c r="O162" s="183"/>
      <c r="P162" s="183"/>
      <c r="Q162" s="183"/>
      <c r="R162" s="183"/>
      <c r="S162" s="183"/>
      <c r="T162" s="183"/>
      <c r="U162" s="183"/>
      <c r="V162" s="183"/>
      <c r="W162" s="183"/>
      <c r="X162" s="183"/>
      <c r="Y162" s="183"/>
      <c r="Z162" s="183"/>
    </row>
    <row r="163" spans="1:26" ht="15" customHeight="1" x14ac:dyDescent="0.25">
      <c r="A163" s="183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83"/>
      <c r="O163" s="183"/>
      <c r="P163" s="183"/>
      <c r="Q163" s="183"/>
      <c r="R163" s="183"/>
      <c r="S163" s="183"/>
      <c r="T163" s="183"/>
      <c r="U163" s="183"/>
      <c r="V163" s="183"/>
      <c r="W163" s="183"/>
      <c r="X163" s="183"/>
      <c r="Y163" s="183"/>
      <c r="Z163" s="183"/>
    </row>
    <row r="164" spans="1:26" ht="15" customHeight="1" x14ac:dyDescent="0.25">
      <c r="A164" s="183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83"/>
      <c r="O164" s="183"/>
      <c r="P164" s="183"/>
      <c r="Q164" s="183"/>
      <c r="R164" s="183"/>
      <c r="S164" s="183"/>
      <c r="T164" s="183"/>
      <c r="U164" s="183"/>
      <c r="V164" s="183"/>
      <c r="W164" s="183"/>
      <c r="X164" s="183"/>
      <c r="Y164" s="183"/>
      <c r="Z164" s="183"/>
    </row>
    <row r="165" spans="1:26" ht="15" customHeight="1" x14ac:dyDescent="0.25">
      <c r="A165" s="183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183"/>
      <c r="O165" s="183"/>
      <c r="P165" s="183"/>
      <c r="Q165" s="183"/>
      <c r="R165" s="183"/>
      <c r="S165" s="183"/>
      <c r="T165" s="183"/>
      <c r="U165" s="183"/>
      <c r="V165" s="183"/>
      <c r="W165" s="183"/>
      <c r="X165" s="183"/>
      <c r="Y165" s="183"/>
      <c r="Z165" s="183"/>
    </row>
    <row r="166" spans="1:26" ht="15" customHeight="1" x14ac:dyDescent="0.25">
      <c r="A166" s="183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183"/>
      <c r="O166" s="183"/>
      <c r="P166" s="183"/>
      <c r="Q166" s="183"/>
      <c r="R166" s="183"/>
      <c r="S166" s="183"/>
      <c r="T166" s="183"/>
      <c r="U166" s="183"/>
      <c r="V166" s="183"/>
      <c r="W166" s="183"/>
      <c r="X166" s="183"/>
      <c r="Y166" s="183"/>
      <c r="Z166" s="183"/>
    </row>
    <row r="167" spans="1:26" ht="15" customHeight="1" x14ac:dyDescent="0.25">
      <c r="A167" s="183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3"/>
      <c r="S167" s="183"/>
      <c r="T167" s="183"/>
      <c r="U167" s="183"/>
      <c r="V167" s="183"/>
      <c r="W167" s="183"/>
      <c r="X167" s="183"/>
      <c r="Y167" s="183"/>
      <c r="Z167" s="183"/>
    </row>
    <row r="168" spans="1:26" ht="15" customHeight="1" x14ac:dyDescent="0.25">
      <c r="A168" s="183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183"/>
      <c r="O168" s="183"/>
      <c r="P168" s="183"/>
      <c r="Q168" s="183"/>
      <c r="R168" s="183"/>
      <c r="S168" s="183"/>
      <c r="T168" s="183"/>
      <c r="U168" s="183"/>
      <c r="V168" s="183"/>
      <c r="W168" s="183"/>
      <c r="X168" s="183"/>
      <c r="Y168" s="183"/>
      <c r="Z168" s="183"/>
    </row>
    <row r="169" spans="1:26" ht="15" customHeight="1" x14ac:dyDescent="0.25">
      <c r="A169" s="183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83"/>
      <c r="O169" s="183"/>
      <c r="P169" s="183"/>
      <c r="Q169" s="183"/>
      <c r="R169" s="183"/>
      <c r="S169" s="183"/>
      <c r="T169" s="183"/>
      <c r="U169" s="183"/>
      <c r="V169" s="183"/>
      <c r="W169" s="183"/>
      <c r="X169" s="183"/>
      <c r="Y169" s="183"/>
      <c r="Z169" s="183"/>
    </row>
    <row r="170" spans="1:26" ht="15" customHeight="1" x14ac:dyDescent="0.25">
      <c r="A170" s="183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183"/>
      <c r="O170" s="183"/>
      <c r="P170" s="183"/>
      <c r="Q170" s="183"/>
      <c r="R170" s="183"/>
      <c r="S170" s="183"/>
      <c r="T170" s="183"/>
      <c r="U170" s="183"/>
      <c r="V170" s="183"/>
      <c r="W170" s="183"/>
      <c r="X170" s="183"/>
      <c r="Y170" s="183"/>
      <c r="Z170" s="183"/>
    </row>
    <row r="171" spans="1:26" ht="15" customHeight="1" x14ac:dyDescent="0.25">
      <c r="A171" s="183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  <c r="Z171" s="183"/>
    </row>
    <row r="172" spans="1:26" ht="15" customHeight="1" x14ac:dyDescent="0.25">
      <c r="A172" s="183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183"/>
      <c r="Q172" s="183"/>
      <c r="R172" s="183"/>
      <c r="S172" s="183"/>
      <c r="T172" s="183"/>
      <c r="U172" s="183"/>
      <c r="V172" s="183"/>
      <c r="W172" s="183"/>
      <c r="X172" s="183"/>
      <c r="Y172" s="183"/>
      <c r="Z172" s="183"/>
    </row>
    <row r="173" spans="1:26" ht="15" customHeight="1" x14ac:dyDescent="0.25">
      <c r="A173" s="183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</row>
    <row r="174" spans="1:26" ht="15" customHeight="1" x14ac:dyDescent="0.25">
      <c r="A174" s="183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183"/>
      <c r="O174" s="183"/>
      <c r="P174" s="183"/>
      <c r="Q174" s="183"/>
      <c r="R174" s="183"/>
      <c r="S174" s="183"/>
      <c r="T174" s="183"/>
      <c r="U174" s="183"/>
      <c r="V174" s="183"/>
      <c r="W174" s="183"/>
      <c r="X174" s="183"/>
      <c r="Y174" s="183"/>
      <c r="Z174" s="183"/>
    </row>
    <row r="175" spans="1:26" ht="15" customHeight="1" x14ac:dyDescent="0.25">
      <c r="A175" s="183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83"/>
      <c r="Q175" s="183"/>
      <c r="R175" s="183"/>
      <c r="S175" s="183"/>
      <c r="T175" s="183"/>
      <c r="U175" s="183"/>
      <c r="V175" s="183"/>
      <c r="W175" s="183"/>
      <c r="X175" s="183"/>
      <c r="Y175" s="183"/>
      <c r="Z175" s="183"/>
    </row>
    <row r="176" spans="1:26" ht="15" customHeight="1" x14ac:dyDescent="0.25">
      <c r="A176" s="183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183"/>
      <c r="O176" s="183"/>
      <c r="P176" s="183"/>
      <c r="Q176" s="183"/>
      <c r="R176" s="183"/>
      <c r="S176" s="183"/>
      <c r="T176" s="183"/>
      <c r="U176" s="183"/>
      <c r="V176" s="183"/>
      <c r="W176" s="183"/>
      <c r="X176" s="183"/>
      <c r="Y176" s="183"/>
      <c r="Z176" s="183"/>
    </row>
    <row r="177" spans="1:26" ht="15" customHeight="1" x14ac:dyDescent="0.25">
      <c r="A177" s="183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</row>
    <row r="178" spans="1:26" ht="15" customHeight="1" x14ac:dyDescent="0.25">
      <c r="A178" s="183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183"/>
      <c r="O178" s="183"/>
      <c r="P178" s="183"/>
      <c r="Q178" s="183"/>
      <c r="R178" s="183"/>
      <c r="S178" s="183"/>
      <c r="T178" s="183"/>
      <c r="U178" s="183"/>
      <c r="V178" s="183"/>
      <c r="W178" s="183"/>
      <c r="X178" s="183"/>
      <c r="Y178" s="183"/>
      <c r="Z178" s="183"/>
    </row>
    <row r="179" spans="1:26" ht="15" customHeight="1" x14ac:dyDescent="0.25">
      <c r="A179" s="183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</row>
    <row r="180" spans="1:26" ht="15" customHeight="1" x14ac:dyDescent="0.25">
      <c r="A180" s="183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3"/>
      <c r="Y180" s="183"/>
      <c r="Z180" s="183"/>
    </row>
    <row r="181" spans="1:26" ht="15" customHeight="1" x14ac:dyDescent="0.25">
      <c r="A181" s="183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</row>
    <row r="182" spans="1:26" ht="15" customHeight="1" x14ac:dyDescent="0.25">
      <c r="A182" s="183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3"/>
      <c r="Y182" s="183"/>
      <c r="Z182" s="183"/>
    </row>
    <row r="183" spans="1:26" ht="15" customHeight="1" x14ac:dyDescent="0.25">
      <c r="A183" s="183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</row>
    <row r="184" spans="1:26" ht="15" customHeight="1" x14ac:dyDescent="0.25">
      <c r="A184" s="183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183"/>
      <c r="O184" s="183"/>
      <c r="P184" s="183"/>
      <c r="Q184" s="183"/>
      <c r="R184" s="183"/>
      <c r="S184" s="183"/>
      <c r="T184" s="183"/>
      <c r="U184" s="183"/>
      <c r="V184" s="183"/>
      <c r="W184" s="183"/>
      <c r="X184" s="183"/>
      <c r="Y184" s="183"/>
      <c r="Z184" s="183"/>
    </row>
    <row r="185" spans="1:26" ht="15" customHeight="1" x14ac:dyDescent="0.25">
      <c r="A185" s="183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</row>
    <row r="186" spans="1:26" ht="15" customHeight="1" x14ac:dyDescent="0.25">
      <c r="A186" s="183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</row>
    <row r="187" spans="1:26" ht="15" customHeight="1" x14ac:dyDescent="0.25">
      <c r="A187" s="18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</row>
    <row r="188" spans="1:26" ht="15" customHeight="1" x14ac:dyDescent="0.25">
      <c r="A188" s="18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3"/>
      <c r="Y188" s="183"/>
      <c r="Z188" s="183"/>
    </row>
    <row r="189" spans="1:26" ht="15" customHeight="1" x14ac:dyDescent="0.25">
      <c r="A189" s="183"/>
      <c r="B189" s="183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</row>
    <row r="190" spans="1:26" ht="15" customHeight="1" x14ac:dyDescent="0.25">
      <c r="A190" s="183"/>
      <c r="B190" s="183"/>
      <c r="C190" s="183"/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83"/>
      <c r="Y190" s="183"/>
      <c r="Z190" s="183"/>
    </row>
    <row r="191" spans="1:26" ht="15" customHeight="1" x14ac:dyDescent="0.25">
      <c r="A191" s="183"/>
      <c r="B191" s="183"/>
      <c r="C191" s="183"/>
      <c r="D191" s="183"/>
      <c r="E191" s="183"/>
      <c r="F191" s="183"/>
      <c r="G191" s="183"/>
      <c r="H191" s="183"/>
      <c r="I191" s="183"/>
      <c r="J191" s="183"/>
      <c r="K191" s="183"/>
      <c r="L191" s="183"/>
      <c r="M191" s="183"/>
      <c r="N191" s="183"/>
      <c r="O191" s="183"/>
      <c r="P191" s="183"/>
      <c r="Q191" s="183"/>
      <c r="R191" s="183"/>
      <c r="S191" s="183"/>
      <c r="T191" s="183"/>
      <c r="U191" s="183"/>
      <c r="V191" s="183"/>
      <c r="W191" s="183"/>
      <c r="X191" s="183"/>
      <c r="Y191" s="183"/>
      <c r="Z191" s="183"/>
    </row>
    <row r="192" spans="1:26" ht="15" customHeight="1" x14ac:dyDescent="0.25">
      <c r="A192" s="183"/>
      <c r="B192" s="183"/>
      <c r="C192" s="183"/>
      <c r="D192" s="183"/>
      <c r="E192" s="183"/>
      <c r="F192" s="183"/>
      <c r="G192" s="183"/>
      <c r="H192" s="183"/>
      <c r="I192" s="183"/>
      <c r="J192" s="183"/>
      <c r="K192" s="183"/>
      <c r="L192" s="183"/>
      <c r="M192" s="183"/>
      <c r="N192" s="183"/>
      <c r="O192" s="183"/>
      <c r="P192" s="183"/>
      <c r="Q192" s="183"/>
      <c r="R192" s="183"/>
      <c r="S192" s="183"/>
      <c r="T192" s="183"/>
      <c r="U192" s="183"/>
      <c r="V192" s="183"/>
      <c r="W192" s="183"/>
      <c r="X192" s="183"/>
      <c r="Y192" s="183"/>
      <c r="Z192" s="183"/>
    </row>
    <row r="193" spans="1:26" ht="15" customHeight="1" x14ac:dyDescent="0.25">
      <c r="A193" s="183"/>
      <c r="B193" s="183"/>
      <c r="C193" s="183"/>
      <c r="D193" s="183"/>
      <c r="E193" s="183"/>
      <c r="F193" s="183"/>
      <c r="G193" s="183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83"/>
      <c r="W193" s="183"/>
      <c r="X193" s="183"/>
      <c r="Y193" s="183"/>
      <c r="Z193" s="183"/>
    </row>
    <row r="194" spans="1:26" ht="15" customHeight="1" x14ac:dyDescent="0.25">
      <c r="A194" s="183"/>
      <c r="B194" s="183"/>
      <c r="C194" s="183"/>
      <c r="D194" s="183"/>
      <c r="E194" s="183"/>
      <c r="F194" s="183"/>
      <c r="G194" s="183"/>
      <c r="H194" s="183"/>
      <c r="I194" s="183"/>
      <c r="J194" s="183"/>
      <c r="K194" s="183"/>
      <c r="L194" s="183"/>
      <c r="M194" s="183"/>
      <c r="N194" s="183"/>
      <c r="O194" s="183"/>
      <c r="P194" s="183"/>
      <c r="Q194" s="183"/>
      <c r="R194" s="183"/>
      <c r="S194" s="183"/>
      <c r="T194" s="183"/>
      <c r="U194" s="183"/>
      <c r="V194" s="183"/>
      <c r="W194" s="183"/>
      <c r="X194" s="183"/>
      <c r="Y194" s="183"/>
      <c r="Z194" s="183"/>
    </row>
    <row r="195" spans="1:26" ht="15" customHeight="1" x14ac:dyDescent="0.25">
      <c r="A195" s="183"/>
      <c r="B195" s="183"/>
      <c r="C195" s="183"/>
      <c r="D195" s="183"/>
      <c r="E195" s="183"/>
      <c r="F195" s="183"/>
      <c r="G195" s="183"/>
      <c r="H195" s="183"/>
      <c r="I195" s="183"/>
      <c r="J195" s="183"/>
      <c r="K195" s="183"/>
      <c r="L195" s="183"/>
      <c r="M195" s="183"/>
      <c r="N195" s="183"/>
      <c r="O195" s="183"/>
      <c r="P195" s="183"/>
      <c r="Q195" s="183"/>
      <c r="R195" s="183"/>
      <c r="S195" s="183"/>
      <c r="T195" s="183"/>
      <c r="U195" s="183"/>
      <c r="V195" s="183"/>
      <c r="W195" s="183"/>
      <c r="X195" s="183"/>
      <c r="Y195" s="183"/>
      <c r="Z195" s="183"/>
    </row>
    <row r="196" spans="1:26" ht="15" customHeight="1" x14ac:dyDescent="0.25">
      <c r="A196" s="183"/>
      <c r="B196" s="183"/>
      <c r="C196" s="183"/>
      <c r="D196" s="183"/>
      <c r="E196" s="183"/>
      <c r="F196" s="183"/>
      <c r="G196" s="183"/>
      <c r="H196" s="183"/>
      <c r="I196" s="183"/>
      <c r="J196" s="183"/>
      <c r="K196" s="183"/>
      <c r="L196" s="183"/>
      <c r="M196" s="183"/>
      <c r="N196" s="183"/>
      <c r="O196" s="183"/>
      <c r="P196" s="183"/>
      <c r="Q196" s="183"/>
      <c r="R196" s="183"/>
      <c r="S196" s="183"/>
      <c r="T196" s="183"/>
      <c r="U196" s="183"/>
      <c r="V196" s="183"/>
      <c r="W196" s="183"/>
      <c r="X196" s="183"/>
      <c r="Y196" s="183"/>
      <c r="Z196" s="183"/>
    </row>
    <row r="197" spans="1:26" ht="15" customHeight="1" x14ac:dyDescent="0.25">
      <c r="A197" s="183"/>
      <c r="B197" s="183"/>
      <c r="C197" s="183"/>
      <c r="D197" s="183"/>
      <c r="E197" s="183"/>
      <c r="F197" s="183"/>
      <c r="G197" s="183"/>
      <c r="H197" s="183"/>
      <c r="I197" s="183"/>
      <c r="J197" s="183"/>
      <c r="K197" s="183"/>
      <c r="L197" s="183"/>
      <c r="M197" s="183"/>
      <c r="N197" s="183"/>
      <c r="O197" s="183"/>
      <c r="P197" s="183"/>
      <c r="Q197" s="183"/>
      <c r="R197" s="183"/>
      <c r="S197" s="183"/>
      <c r="T197" s="183"/>
      <c r="U197" s="183"/>
      <c r="V197" s="183"/>
      <c r="W197" s="183"/>
      <c r="X197" s="183"/>
      <c r="Y197" s="183"/>
      <c r="Z197" s="183"/>
    </row>
    <row r="198" spans="1:26" ht="15" customHeight="1" x14ac:dyDescent="0.25">
      <c r="A198" s="183"/>
      <c r="B198" s="183"/>
      <c r="C198" s="183"/>
      <c r="D198" s="183"/>
      <c r="E198" s="183"/>
      <c r="F198" s="183"/>
      <c r="G198" s="183"/>
      <c r="H198" s="183"/>
      <c r="I198" s="183"/>
      <c r="J198" s="183"/>
      <c r="K198" s="183"/>
      <c r="L198" s="183"/>
      <c r="M198" s="183"/>
      <c r="N198" s="183"/>
      <c r="O198" s="183"/>
      <c r="P198" s="183"/>
      <c r="Q198" s="183"/>
      <c r="R198" s="183"/>
      <c r="S198" s="183"/>
      <c r="T198" s="183"/>
      <c r="U198" s="183"/>
      <c r="V198" s="183"/>
      <c r="W198" s="183"/>
      <c r="X198" s="183"/>
      <c r="Y198" s="183"/>
      <c r="Z198" s="183"/>
    </row>
    <row r="199" spans="1:26" ht="15" customHeight="1" x14ac:dyDescent="0.25">
      <c r="A199" s="183"/>
      <c r="B199" s="183"/>
      <c r="C199" s="183"/>
      <c r="D199" s="183"/>
      <c r="E199" s="183"/>
      <c r="F199" s="183"/>
      <c r="G199" s="183"/>
      <c r="H199" s="183"/>
      <c r="I199" s="183"/>
      <c r="J199" s="183"/>
      <c r="K199" s="183"/>
      <c r="L199" s="183"/>
      <c r="M199" s="183"/>
      <c r="N199" s="183"/>
      <c r="O199" s="183"/>
      <c r="P199" s="183"/>
      <c r="Q199" s="183"/>
      <c r="R199" s="183"/>
      <c r="S199" s="183"/>
      <c r="T199" s="183"/>
      <c r="U199" s="183"/>
      <c r="V199" s="183"/>
      <c r="W199" s="183"/>
      <c r="X199" s="183"/>
      <c r="Y199" s="183"/>
      <c r="Z199" s="183"/>
    </row>
    <row r="200" spans="1:26" ht="15" customHeight="1" x14ac:dyDescent="0.25">
      <c r="A200" s="183"/>
      <c r="B200" s="183"/>
      <c r="C200" s="183"/>
      <c r="D200" s="183"/>
      <c r="E200" s="183"/>
      <c r="F200" s="183"/>
      <c r="G200" s="183"/>
      <c r="H200" s="183"/>
      <c r="I200" s="183"/>
      <c r="J200" s="183"/>
      <c r="K200" s="183"/>
      <c r="L200" s="183"/>
      <c r="M200" s="183"/>
      <c r="N200" s="183"/>
      <c r="O200" s="183"/>
      <c r="P200" s="183"/>
      <c r="Q200" s="183"/>
      <c r="R200" s="183"/>
      <c r="S200" s="183"/>
      <c r="T200" s="183"/>
      <c r="U200" s="183"/>
      <c r="V200" s="183"/>
      <c r="W200" s="183"/>
      <c r="X200" s="183"/>
      <c r="Y200" s="183"/>
      <c r="Z200" s="183"/>
    </row>
    <row r="201" spans="1:26" ht="15" customHeight="1" x14ac:dyDescent="0.25">
      <c r="A201" s="183"/>
      <c r="B201" s="183"/>
      <c r="C201" s="183"/>
      <c r="D201" s="183"/>
      <c r="E201" s="183"/>
      <c r="F201" s="183"/>
      <c r="G201" s="183"/>
      <c r="H201" s="183"/>
      <c r="I201" s="183"/>
      <c r="J201" s="183"/>
      <c r="K201" s="183"/>
      <c r="L201" s="183"/>
      <c r="M201" s="183"/>
      <c r="N201" s="183"/>
      <c r="O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</row>
    <row r="202" spans="1:26" ht="15" customHeight="1" x14ac:dyDescent="0.25">
      <c r="A202" s="183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183"/>
      <c r="O202" s="183"/>
      <c r="P202" s="183"/>
      <c r="Q202" s="183"/>
      <c r="R202" s="183"/>
      <c r="S202" s="183"/>
      <c r="T202" s="183"/>
      <c r="U202" s="183"/>
      <c r="V202" s="183"/>
      <c r="W202" s="183"/>
      <c r="X202" s="183"/>
      <c r="Y202" s="183"/>
      <c r="Z202" s="183"/>
    </row>
    <row r="203" spans="1:26" ht="15" customHeight="1" x14ac:dyDescent="0.25">
      <c r="A203" s="183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183"/>
      <c r="O203" s="183"/>
      <c r="P203" s="183"/>
      <c r="Q203" s="183"/>
      <c r="R203" s="183"/>
      <c r="S203" s="183"/>
      <c r="T203" s="183"/>
      <c r="U203" s="183"/>
      <c r="V203" s="183"/>
      <c r="W203" s="183"/>
      <c r="X203" s="183"/>
      <c r="Y203" s="183"/>
      <c r="Z203" s="183"/>
    </row>
    <row r="204" spans="1:26" ht="15" customHeight="1" x14ac:dyDescent="0.25">
      <c r="A204" s="183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183"/>
      <c r="O204" s="183"/>
      <c r="P204" s="183"/>
      <c r="Q204" s="183"/>
      <c r="R204" s="183"/>
      <c r="S204" s="183"/>
      <c r="T204" s="183"/>
      <c r="U204" s="183"/>
      <c r="V204" s="183"/>
      <c r="W204" s="183"/>
      <c r="X204" s="183"/>
      <c r="Y204" s="183"/>
      <c r="Z204" s="183"/>
    </row>
    <row r="205" spans="1:26" ht="15" customHeight="1" x14ac:dyDescent="0.25">
      <c r="A205" s="183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183"/>
      <c r="O205" s="183"/>
      <c r="P205" s="183"/>
      <c r="Q205" s="183"/>
      <c r="R205" s="183"/>
      <c r="S205" s="183"/>
      <c r="T205" s="183"/>
      <c r="U205" s="183"/>
      <c r="V205" s="183"/>
      <c r="W205" s="183"/>
      <c r="X205" s="183"/>
      <c r="Y205" s="183"/>
      <c r="Z205" s="183"/>
    </row>
    <row r="206" spans="1:26" ht="15" customHeight="1" x14ac:dyDescent="0.25">
      <c r="A206" s="183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83"/>
      <c r="O206" s="183"/>
      <c r="P206" s="183"/>
      <c r="Q206" s="183"/>
      <c r="R206" s="183"/>
      <c r="S206" s="183"/>
      <c r="T206" s="183"/>
      <c r="U206" s="183"/>
      <c r="V206" s="183"/>
      <c r="W206" s="183"/>
      <c r="X206" s="183"/>
      <c r="Y206" s="183"/>
      <c r="Z206" s="183"/>
    </row>
    <row r="207" spans="1:26" ht="15" customHeight="1" x14ac:dyDescent="0.25">
      <c r="A207" s="183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83"/>
      <c r="O207" s="183"/>
      <c r="P207" s="183"/>
      <c r="Q207" s="183"/>
      <c r="R207" s="183"/>
      <c r="S207" s="183"/>
      <c r="T207" s="183"/>
      <c r="U207" s="183"/>
      <c r="V207" s="183"/>
      <c r="W207" s="183"/>
      <c r="X207" s="183"/>
      <c r="Y207" s="183"/>
      <c r="Z207" s="183"/>
    </row>
    <row r="208" spans="1:26" ht="15" customHeight="1" x14ac:dyDescent="0.25">
      <c r="A208" s="183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83"/>
      <c r="O208" s="183"/>
      <c r="P208" s="183"/>
      <c r="Q208" s="183"/>
      <c r="R208" s="183"/>
      <c r="S208" s="183"/>
      <c r="T208" s="183"/>
      <c r="U208" s="183"/>
      <c r="V208" s="183"/>
      <c r="W208" s="183"/>
      <c r="X208" s="183"/>
      <c r="Y208" s="183"/>
      <c r="Z208" s="183"/>
    </row>
    <row r="209" spans="1:26" ht="15" customHeight="1" x14ac:dyDescent="0.25">
      <c r="A209" s="183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183"/>
      <c r="O209" s="183"/>
      <c r="P209" s="183"/>
      <c r="Q209" s="183"/>
      <c r="R209" s="183"/>
      <c r="S209" s="183"/>
      <c r="T209" s="183"/>
      <c r="U209" s="183"/>
      <c r="V209" s="183"/>
      <c r="W209" s="183"/>
      <c r="X209" s="183"/>
      <c r="Y209" s="183"/>
      <c r="Z209" s="183"/>
    </row>
    <row r="210" spans="1:26" ht="15" customHeight="1" x14ac:dyDescent="0.25">
      <c r="A210" s="183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83"/>
      <c r="O210" s="183"/>
      <c r="P210" s="183"/>
      <c r="Q210" s="183"/>
      <c r="R210" s="183"/>
      <c r="S210" s="183"/>
      <c r="T210" s="183"/>
      <c r="U210" s="183"/>
      <c r="V210" s="183"/>
      <c r="W210" s="183"/>
      <c r="X210" s="183"/>
      <c r="Y210" s="183"/>
      <c r="Z210" s="183"/>
    </row>
    <row r="211" spans="1:26" ht="15" customHeight="1" x14ac:dyDescent="0.25">
      <c r="A211" s="183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3"/>
      <c r="Y211" s="183"/>
      <c r="Z211" s="183"/>
    </row>
    <row r="212" spans="1:26" ht="15" customHeight="1" x14ac:dyDescent="0.25">
      <c r="A212" s="183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183"/>
      <c r="S212" s="183"/>
      <c r="T212" s="183"/>
      <c r="U212" s="183"/>
      <c r="V212" s="183"/>
      <c r="W212" s="183"/>
      <c r="X212" s="183"/>
      <c r="Y212" s="183"/>
      <c r="Z212" s="183"/>
    </row>
    <row r="213" spans="1:26" ht="15" customHeight="1" x14ac:dyDescent="0.25">
      <c r="A213" s="183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83"/>
      <c r="O213" s="183"/>
      <c r="P213" s="183"/>
      <c r="Q213" s="183"/>
      <c r="R213" s="183"/>
      <c r="S213" s="183"/>
      <c r="T213" s="183"/>
      <c r="U213" s="183"/>
      <c r="V213" s="183"/>
      <c r="W213" s="183"/>
      <c r="X213" s="183"/>
      <c r="Y213" s="183"/>
      <c r="Z213" s="183"/>
    </row>
    <row r="214" spans="1:26" ht="15" customHeight="1" x14ac:dyDescent="0.25">
      <c r="A214" s="183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/>
      <c r="R214" s="183"/>
      <c r="S214" s="183"/>
      <c r="T214" s="183"/>
      <c r="U214" s="183"/>
      <c r="V214" s="183"/>
      <c r="W214" s="183"/>
      <c r="X214" s="183"/>
      <c r="Y214" s="183"/>
      <c r="Z214" s="183"/>
    </row>
    <row r="215" spans="1:26" ht="15" customHeight="1" x14ac:dyDescent="0.25">
      <c r="A215" s="183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83"/>
      <c r="O215" s="183"/>
      <c r="P215" s="183"/>
      <c r="Q215" s="183"/>
      <c r="R215" s="183"/>
      <c r="S215" s="183"/>
      <c r="T215" s="183"/>
      <c r="U215" s="183"/>
      <c r="V215" s="183"/>
      <c r="W215" s="183"/>
      <c r="X215" s="183"/>
      <c r="Y215" s="183"/>
      <c r="Z215" s="183"/>
    </row>
    <row r="216" spans="1:26" ht="15" customHeight="1" x14ac:dyDescent="0.25">
      <c r="A216" s="183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83"/>
      <c r="O216" s="183"/>
      <c r="P216" s="183"/>
      <c r="Q216" s="183"/>
      <c r="R216" s="183"/>
      <c r="S216" s="183"/>
      <c r="T216" s="183"/>
      <c r="U216" s="183"/>
      <c r="V216" s="183"/>
      <c r="W216" s="183"/>
      <c r="X216" s="183"/>
      <c r="Y216" s="183"/>
      <c r="Z216" s="183"/>
    </row>
    <row r="217" spans="1:26" ht="15" customHeight="1" x14ac:dyDescent="0.25">
      <c r="A217" s="183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183"/>
      <c r="O217" s="183"/>
      <c r="P217" s="183"/>
      <c r="Q217" s="183"/>
      <c r="R217" s="183"/>
      <c r="S217" s="183"/>
      <c r="T217" s="183"/>
      <c r="U217" s="183"/>
      <c r="V217" s="183"/>
      <c r="W217" s="183"/>
      <c r="X217" s="183"/>
      <c r="Y217" s="183"/>
      <c r="Z217" s="183"/>
    </row>
    <row r="218" spans="1:26" ht="15" customHeight="1" x14ac:dyDescent="0.25">
      <c r="A218" s="183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</row>
    <row r="219" spans="1:26" ht="15" customHeight="1" x14ac:dyDescent="0.25">
      <c r="A219" s="183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183"/>
      <c r="O219" s="183"/>
      <c r="P219" s="183"/>
      <c r="Q219" s="183"/>
      <c r="R219" s="183"/>
      <c r="S219" s="183"/>
      <c r="T219" s="183"/>
      <c r="U219" s="183"/>
      <c r="V219" s="183"/>
      <c r="W219" s="183"/>
      <c r="X219" s="183"/>
      <c r="Y219" s="183"/>
      <c r="Z219" s="183"/>
    </row>
    <row r="220" spans="1:26" ht="15" customHeight="1" x14ac:dyDescent="0.25">
      <c r="A220" s="183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83"/>
      <c r="O220" s="183"/>
      <c r="P220" s="183"/>
      <c r="Q220" s="183"/>
      <c r="R220" s="183"/>
      <c r="S220" s="183"/>
      <c r="T220" s="183"/>
      <c r="U220" s="183"/>
      <c r="V220" s="183"/>
      <c r="W220" s="183"/>
      <c r="X220" s="183"/>
      <c r="Y220" s="183"/>
      <c r="Z220" s="183"/>
    </row>
    <row r="221" spans="1:26" ht="15" customHeight="1" x14ac:dyDescent="0.25">
      <c r="A221" s="183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83"/>
      <c r="O221" s="183"/>
      <c r="P221" s="183"/>
      <c r="Q221" s="183"/>
      <c r="R221" s="183"/>
      <c r="S221" s="183"/>
      <c r="T221" s="183"/>
      <c r="U221" s="183"/>
      <c r="V221" s="183"/>
      <c r="W221" s="183"/>
      <c r="X221" s="183"/>
      <c r="Y221" s="183"/>
      <c r="Z221" s="183"/>
    </row>
    <row r="222" spans="1:26" ht="15" customHeight="1" x14ac:dyDescent="0.25">
      <c r="A222" s="183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83"/>
      <c r="O222" s="183"/>
      <c r="P222" s="183"/>
      <c r="Q222" s="183"/>
      <c r="R222" s="183"/>
      <c r="S222" s="183"/>
      <c r="T222" s="183"/>
      <c r="U222" s="183"/>
      <c r="V222" s="183"/>
      <c r="W222" s="183"/>
      <c r="X222" s="183"/>
      <c r="Y222" s="183"/>
      <c r="Z222" s="183"/>
    </row>
    <row r="223" spans="1:26" ht="15" customHeight="1" x14ac:dyDescent="0.25">
      <c r="A223" s="183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183"/>
      <c r="O223" s="183"/>
      <c r="P223" s="183"/>
      <c r="Q223" s="183"/>
      <c r="R223" s="183"/>
      <c r="S223" s="183"/>
      <c r="T223" s="183"/>
      <c r="U223" s="183"/>
      <c r="V223" s="183"/>
      <c r="W223" s="183"/>
      <c r="X223" s="183"/>
      <c r="Y223" s="183"/>
      <c r="Z223" s="183"/>
    </row>
    <row r="224" spans="1:26" ht="15" customHeight="1" x14ac:dyDescent="0.25">
      <c r="A224" s="183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83"/>
      <c r="O224" s="183"/>
      <c r="P224" s="183"/>
      <c r="Q224" s="183"/>
      <c r="R224" s="183"/>
      <c r="S224" s="183"/>
      <c r="T224" s="183"/>
      <c r="U224" s="183"/>
      <c r="V224" s="183"/>
      <c r="W224" s="183"/>
      <c r="X224" s="183"/>
      <c r="Y224" s="183"/>
      <c r="Z224" s="183"/>
    </row>
    <row r="225" spans="1:26" ht="15" customHeight="1" x14ac:dyDescent="0.25">
      <c r="A225" s="183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183"/>
      <c r="O225" s="183"/>
      <c r="P225" s="183"/>
      <c r="Q225" s="183"/>
      <c r="R225" s="183"/>
      <c r="S225" s="183"/>
      <c r="T225" s="183"/>
      <c r="U225" s="183"/>
      <c r="V225" s="183"/>
      <c r="W225" s="183"/>
      <c r="X225" s="183"/>
      <c r="Y225" s="183"/>
      <c r="Z225" s="183"/>
    </row>
    <row r="226" spans="1:26" ht="15" customHeight="1" x14ac:dyDescent="0.25">
      <c r="A226" s="183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</row>
    <row r="227" spans="1:26" ht="15" customHeight="1" x14ac:dyDescent="0.25">
      <c r="A227" s="183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183"/>
      <c r="O227" s="183"/>
      <c r="P227" s="183"/>
      <c r="Q227" s="183"/>
      <c r="R227" s="183"/>
      <c r="S227" s="183"/>
      <c r="T227" s="183"/>
      <c r="U227" s="183"/>
      <c r="V227" s="183"/>
      <c r="W227" s="183"/>
      <c r="X227" s="183"/>
      <c r="Y227" s="183"/>
      <c r="Z227" s="183"/>
    </row>
    <row r="228" spans="1:26" ht="15" customHeight="1" x14ac:dyDescent="0.25">
      <c r="A228" s="183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83"/>
      <c r="O228" s="183"/>
      <c r="P228" s="183"/>
      <c r="Q228" s="183"/>
      <c r="R228" s="183"/>
      <c r="S228" s="183"/>
      <c r="T228" s="183"/>
      <c r="U228" s="183"/>
      <c r="V228" s="183"/>
      <c r="W228" s="183"/>
      <c r="X228" s="183"/>
      <c r="Y228" s="183"/>
      <c r="Z228" s="183"/>
    </row>
    <row r="229" spans="1:26" ht="15" customHeight="1" x14ac:dyDescent="0.25">
      <c r="A229" s="183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183"/>
      <c r="O229" s="183"/>
      <c r="P229" s="183"/>
      <c r="Q229" s="183"/>
      <c r="R229" s="183"/>
      <c r="S229" s="183"/>
      <c r="T229" s="183"/>
      <c r="U229" s="183"/>
      <c r="V229" s="183"/>
      <c r="W229" s="183"/>
      <c r="X229" s="183"/>
      <c r="Y229" s="183"/>
      <c r="Z229" s="183"/>
    </row>
    <row r="230" spans="1:26" ht="15" customHeight="1" x14ac:dyDescent="0.25">
      <c r="A230" s="183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83"/>
      <c r="O230" s="183"/>
      <c r="P230" s="183"/>
      <c r="Q230" s="183"/>
      <c r="R230" s="183"/>
      <c r="S230" s="183"/>
      <c r="T230" s="183"/>
      <c r="U230" s="183"/>
      <c r="V230" s="183"/>
      <c r="W230" s="183"/>
      <c r="X230" s="183"/>
      <c r="Y230" s="183"/>
      <c r="Z230" s="183"/>
    </row>
    <row r="231" spans="1:26" ht="15" customHeight="1" x14ac:dyDescent="0.25">
      <c r="A231" s="183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183"/>
      <c r="O231" s="183"/>
      <c r="P231" s="183"/>
      <c r="Q231" s="183"/>
      <c r="R231" s="183"/>
      <c r="S231" s="183"/>
      <c r="T231" s="183"/>
      <c r="U231" s="183"/>
      <c r="V231" s="183"/>
      <c r="W231" s="183"/>
      <c r="X231" s="183"/>
      <c r="Y231" s="183"/>
      <c r="Z231" s="183"/>
    </row>
    <row r="232" spans="1:26" ht="15" customHeight="1" x14ac:dyDescent="0.25">
      <c r="A232" s="183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3"/>
      <c r="Q232" s="183"/>
      <c r="R232" s="183"/>
      <c r="S232" s="183"/>
      <c r="T232" s="183"/>
      <c r="U232" s="183"/>
      <c r="V232" s="183"/>
      <c r="W232" s="183"/>
      <c r="X232" s="183"/>
      <c r="Y232" s="183"/>
      <c r="Z232" s="183"/>
    </row>
    <row r="233" spans="1:26" ht="15" customHeight="1" x14ac:dyDescent="0.25">
      <c r="A233" s="183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83"/>
      <c r="O233" s="183"/>
      <c r="P233" s="183"/>
      <c r="Q233" s="183"/>
      <c r="R233" s="183"/>
      <c r="S233" s="183"/>
      <c r="T233" s="183"/>
      <c r="U233" s="183"/>
      <c r="V233" s="183"/>
      <c r="W233" s="183"/>
      <c r="X233" s="183"/>
      <c r="Y233" s="183"/>
      <c r="Z233" s="183"/>
    </row>
    <row r="234" spans="1:26" ht="15" customHeight="1" x14ac:dyDescent="0.25">
      <c r="A234" s="183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83"/>
      <c r="O234" s="183"/>
      <c r="P234" s="183"/>
      <c r="Q234" s="183"/>
      <c r="R234" s="183"/>
      <c r="S234" s="183"/>
      <c r="T234" s="183"/>
      <c r="U234" s="183"/>
      <c r="V234" s="183"/>
      <c r="W234" s="183"/>
      <c r="X234" s="183"/>
      <c r="Y234" s="183"/>
      <c r="Z234" s="183"/>
    </row>
    <row r="235" spans="1:26" ht="15" customHeight="1" x14ac:dyDescent="0.25">
      <c r="A235" s="183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183"/>
      <c r="O235" s="183"/>
      <c r="P235" s="183"/>
      <c r="Q235" s="183"/>
      <c r="R235" s="183"/>
      <c r="S235" s="183"/>
      <c r="T235" s="183"/>
      <c r="U235" s="183"/>
      <c r="V235" s="183"/>
      <c r="W235" s="183"/>
      <c r="X235" s="183"/>
      <c r="Y235" s="183"/>
      <c r="Z235" s="183"/>
    </row>
    <row r="236" spans="1:26" ht="15" customHeight="1" x14ac:dyDescent="0.25">
      <c r="A236" s="183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83"/>
      <c r="O236" s="183"/>
      <c r="P236" s="183"/>
      <c r="Q236" s="183"/>
      <c r="R236" s="183"/>
      <c r="S236" s="183"/>
      <c r="T236" s="183"/>
      <c r="U236" s="183"/>
      <c r="V236" s="183"/>
      <c r="W236" s="183"/>
      <c r="X236" s="183"/>
      <c r="Y236" s="183"/>
      <c r="Z236" s="183"/>
    </row>
    <row r="237" spans="1:26" ht="15" customHeight="1" x14ac:dyDescent="0.25">
      <c r="A237" s="183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83"/>
      <c r="O237" s="183"/>
      <c r="P237" s="183"/>
      <c r="Q237" s="183"/>
      <c r="R237" s="183"/>
      <c r="S237" s="183"/>
      <c r="T237" s="183"/>
      <c r="U237" s="183"/>
      <c r="V237" s="183"/>
      <c r="W237" s="183"/>
      <c r="X237" s="183"/>
      <c r="Y237" s="183"/>
      <c r="Z237" s="183"/>
    </row>
    <row r="238" spans="1:26" ht="15" customHeight="1" x14ac:dyDescent="0.25">
      <c r="A238" s="183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83"/>
      <c r="O238" s="183"/>
      <c r="P238" s="183"/>
      <c r="Q238" s="183"/>
      <c r="R238" s="183"/>
      <c r="S238" s="183"/>
      <c r="T238" s="183"/>
      <c r="U238" s="183"/>
      <c r="V238" s="183"/>
      <c r="W238" s="183"/>
      <c r="X238" s="183"/>
      <c r="Y238" s="183"/>
      <c r="Z238" s="183"/>
    </row>
    <row r="239" spans="1:26" ht="15" customHeight="1" x14ac:dyDescent="0.25">
      <c r="A239" s="183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83"/>
      <c r="O239" s="183"/>
      <c r="P239" s="183"/>
      <c r="Q239" s="183"/>
      <c r="R239" s="183"/>
      <c r="S239" s="183"/>
      <c r="T239" s="183"/>
      <c r="U239" s="183"/>
      <c r="V239" s="183"/>
      <c r="W239" s="183"/>
      <c r="X239" s="183"/>
      <c r="Y239" s="183"/>
      <c r="Z239" s="183"/>
    </row>
    <row r="240" spans="1:26" ht="15" customHeight="1" x14ac:dyDescent="0.25">
      <c r="A240" s="18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83"/>
      <c r="Q240" s="183"/>
      <c r="R240" s="183"/>
      <c r="S240" s="183"/>
      <c r="T240" s="183"/>
      <c r="U240" s="183"/>
      <c r="V240" s="183"/>
      <c r="W240" s="183"/>
      <c r="X240" s="183"/>
      <c r="Y240" s="183"/>
      <c r="Z240" s="183"/>
    </row>
    <row r="241" spans="1:26" ht="15" customHeight="1" x14ac:dyDescent="0.25">
      <c r="A241" s="18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83"/>
      <c r="O241" s="183"/>
      <c r="P241" s="183"/>
      <c r="Q241" s="183"/>
      <c r="R241" s="183"/>
      <c r="S241" s="183"/>
      <c r="T241" s="183"/>
      <c r="U241" s="183"/>
      <c r="V241" s="183"/>
      <c r="W241" s="183"/>
      <c r="X241" s="183"/>
      <c r="Y241" s="183"/>
      <c r="Z241" s="183"/>
    </row>
    <row r="242" spans="1:26" ht="15" customHeight="1" x14ac:dyDescent="0.25">
      <c r="A242" s="183"/>
      <c r="B242" s="183"/>
      <c r="C242" s="183"/>
      <c r="D242" s="183"/>
      <c r="E242" s="183"/>
      <c r="F242" s="183"/>
      <c r="G242" s="183"/>
      <c r="H242" s="183"/>
      <c r="I242" s="183"/>
      <c r="J242" s="183"/>
      <c r="K242" s="183"/>
      <c r="L242" s="183"/>
      <c r="M242" s="183"/>
      <c r="N242" s="183"/>
      <c r="O242" s="183"/>
      <c r="P242" s="183"/>
      <c r="Q242" s="183"/>
      <c r="R242" s="183"/>
      <c r="S242" s="183"/>
      <c r="T242" s="183"/>
      <c r="U242" s="183"/>
      <c r="V242" s="183"/>
      <c r="W242" s="183"/>
      <c r="X242" s="183"/>
      <c r="Y242" s="183"/>
      <c r="Z242" s="183"/>
    </row>
    <row r="243" spans="1:26" ht="15" customHeight="1" x14ac:dyDescent="0.25">
      <c r="A243" s="183"/>
      <c r="B243" s="183"/>
      <c r="C243" s="183"/>
      <c r="D243" s="183"/>
      <c r="E243" s="183"/>
      <c r="F243" s="183"/>
      <c r="G243" s="183"/>
      <c r="H243" s="183"/>
      <c r="I243" s="183"/>
      <c r="J243" s="183"/>
      <c r="K243" s="183"/>
      <c r="L243" s="183"/>
      <c r="M243" s="183"/>
      <c r="N243" s="183"/>
      <c r="O243" s="183"/>
      <c r="P243" s="183"/>
      <c r="Q243" s="183"/>
      <c r="R243" s="183"/>
      <c r="S243" s="183"/>
      <c r="T243" s="183"/>
      <c r="U243" s="183"/>
      <c r="V243" s="183"/>
      <c r="W243" s="183"/>
      <c r="X243" s="183"/>
      <c r="Y243" s="183"/>
      <c r="Z243" s="183"/>
    </row>
    <row r="244" spans="1:26" ht="15" customHeight="1" x14ac:dyDescent="0.25">
      <c r="A244" s="183"/>
      <c r="B244" s="183"/>
      <c r="C244" s="183"/>
      <c r="D244" s="183"/>
      <c r="E244" s="183"/>
      <c r="F244" s="183"/>
      <c r="G244" s="183"/>
      <c r="H244" s="183"/>
      <c r="I244" s="183"/>
      <c r="J244" s="183"/>
      <c r="K244" s="183"/>
      <c r="L244" s="183"/>
      <c r="M244" s="183"/>
      <c r="N244" s="183"/>
      <c r="O244" s="183"/>
      <c r="P244" s="183"/>
      <c r="Q244" s="183"/>
      <c r="R244" s="183"/>
      <c r="S244" s="183"/>
      <c r="T244" s="183"/>
      <c r="U244" s="183"/>
      <c r="V244" s="183"/>
      <c r="W244" s="183"/>
      <c r="X244" s="183"/>
      <c r="Y244" s="183"/>
      <c r="Z244" s="183"/>
    </row>
    <row r="245" spans="1:26" ht="15" customHeight="1" x14ac:dyDescent="0.25">
      <c r="A245" s="183"/>
      <c r="B245" s="183"/>
      <c r="C245" s="183"/>
      <c r="D245" s="183"/>
      <c r="E245" s="183"/>
      <c r="F245" s="183"/>
      <c r="G245" s="183"/>
      <c r="H245" s="183"/>
      <c r="I245" s="183"/>
      <c r="J245" s="183"/>
      <c r="K245" s="183"/>
      <c r="L245" s="183"/>
      <c r="M245" s="183"/>
      <c r="N245" s="183"/>
      <c r="O245" s="183"/>
      <c r="P245" s="183"/>
      <c r="Q245" s="183"/>
      <c r="R245" s="183"/>
      <c r="S245" s="183"/>
      <c r="T245" s="183"/>
      <c r="U245" s="183"/>
      <c r="V245" s="183"/>
      <c r="W245" s="183"/>
      <c r="X245" s="183"/>
      <c r="Y245" s="183"/>
      <c r="Z245" s="183"/>
    </row>
    <row r="246" spans="1:26" ht="15" customHeight="1" x14ac:dyDescent="0.25">
      <c r="A246" s="183"/>
      <c r="B246" s="183"/>
      <c r="C246" s="183"/>
      <c r="D246" s="183"/>
      <c r="E246" s="183"/>
      <c r="F246" s="183"/>
      <c r="G246" s="183"/>
      <c r="H246" s="183"/>
      <c r="I246" s="183"/>
      <c r="J246" s="183"/>
      <c r="K246" s="183"/>
      <c r="L246" s="183"/>
      <c r="M246" s="183"/>
      <c r="N246" s="183"/>
      <c r="O246" s="183"/>
      <c r="P246" s="183"/>
      <c r="Q246" s="183"/>
      <c r="R246" s="183"/>
      <c r="S246" s="183"/>
      <c r="T246" s="183"/>
      <c r="U246" s="183"/>
      <c r="V246" s="183"/>
      <c r="W246" s="183"/>
      <c r="X246" s="183"/>
      <c r="Y246" s="183"/>
      <c r="Z246" s="183"/>
    </row>
    <row r="247" spans="1:26" ht="15" customHeight="1" x14ac:dyDescent="0.25">
      <c r="A247" s="183"/>
      <c r="B247" s="183"/>
      <c r="C247" s="183"/>
      <c r="D247" s="183"/>
      <c r="E247" s="183"/>
      <c r="F247" s="183"/>
      <c r="G247" s="183"/>
      <c r="H247" s="183"/>
      <c r="I247" s="183"/>
      <c r="J247" s="183"/>
      <c r="K247" s="183"/>
      <c r="L247" s="183"/>
      <c r="M247" s="183"/>
      <c r="N247" s="183"/>
      <c r="O247" s="183"/>
      <c r="P247" s="183"/>
      <c r="Q247" s="183"/>
      <c r="R247" s="183"/>
      <c r="S247" s="183"/>
      <c r="T247" s="183"/>
      <c r="U247" s="183"/>
      <c r="V247" s="183"/>
      <c r="W247" s="183"/>
      <c r="X247" s="183"/>
      <c r="Y247" s="183"/>
      <c r="Z247" s="183"/>
    </row>
    <row r="248" spans="1:26" ht="15" customHeight="1" x14ac:dyDescent="0.25">
      <c r="A248" s="183"/>
      <c r="B248" s="183"/>
      <c r="C248" s="183"/>
      <c r="D248" s="183"/>
      <c r="E248" s="183"/>
      <c r="F248" s="183"/>
      <c r="G248" s="183"/>
      <c r="H248" s="183"/>
      <c r="I248" s="183"/>
      <c r="J248" s="183"/>
      <c r="K248" s="183"/>
      <c r="L248" s="183"/>
      <c r="M248" s="183"/>
      <c r="N248" s="183"/>
      <c r="O248" s="183"/>
      <c r="P248" s="183"/>
      <c r="Q248" s="183"/>
      <c r="R248" s="183"/>
      <c r="S248" s="183"/>
      <c r="T248" s="183"/>
      <c r="U248" s="183"/>
      <c r="V248" s="183"/>
      <c r="W248" s="183"/>
      <c r="X248" s="183"/>
      <c r="Y248" s="183"/>
      <c r="Z248" s="183"/>
    </row>
    <row r="249" spans="1:26" ht="15" customHeight="1" x14ac:dyDescent="0.25">
      <c r="A249" s="183"/>
      <c r="B249" s="183"/>
      <c r="C249" s="183"/>
      <c r="D249" s="183"/>
      <c r="E249" s="183"/>
      <c r="F249" s="183"/>
      <c r="G249" s="183"/>
      <c r="H249" s="183"/>
      <c r="I249" s="183"/>
      <c r="J249" s="183"/>
      <c r="K249" s="183"/>
      <c r="L249" s="183"/>
      <c r="M249" s="183"/>
      <c r="N249" s="183"/>
      <c r="O249" s="183"/>
      <c r="P249" s="183"/>
      <c r="Q249" s="183"/>
      <c r="R249" s="183"/>
      <c r="S249" s="183"/>
      <c r="T249" s="183"/>
      <c r="U249" s="183"/>
      <c r="V249" s="183"/>
      <c r="W249" s="183"/>
      <c r="X249" s="183"/>
      <c r="Y249" s="183"/>
      <c r="Z249" s="183"/>
    </row>
    <row r="250" spans="1:26" ht="15" customHeight="1" x14ac:dyDescent="0.25">
      <c r="A250" s="183"/>
      <c r="B250" s="183"/>
      <c r="C250" s="183"/>
      <c r="D250" s="183"/>
      <c r="E250" s="183"/>
      <c r="F250" s="183"/>
      <c r="G250" s="183"/>
      <c r="H250" s="183"/>
      <c r="I250" s="183"/>
      <c r="J250" s="183"/>
      <c r="K250" s="183"/>
      <c r="L250" s="183"/>
      <c r="M250" s="183"/>
      <c r="N250" s="183"/>
      <c r="O250" s="183"/>
      <c r="P250" s="183"/>
      <c r="Q250" s="183"/>
      <c r="R250" s="183"/>
      <c r="S250" s="183"/>
      <c r="T250" s="183"/>
      <c r="U250" s="183"/>
      <c r="V250" s="183"/>
      <c r="W250" s="183"/>
      <c r="X250" s="183"/>
      <c r="Y250" s="183"/>
      <c r="Z250" s="183"/>
    </row>
    <row r="251" spans="1:26" ht="15" customHeight="1" x14ac:dyDescent="0.25">
      <c r="A251" s="183"/>
      <c r="B251" s="183"/>
      <c r="C251" s="183"/>
      <c r="D251" s="183"/>
      <c r="E251" s="183"/>
      <c r="F251" s="183"/>
      <c r="G251" s="183"/>
      <c r="H251" s="183"/>
      <c r="I251" s="183"/>
      <c r="J251" s="183"/>
      <c r="K251" s="183"/>
      <c r="L251" s="183"/>
      <c r="M251" s="183"/>
      <c r="N251" s="183"/>
      <c r="O251" s="183"/>
      <c r="P251" s="183"/>
      <c r="Q251" s="183"/>
      <c r="R251" s="183"/>
      <c r="S251" s="183"/>
      <c r="T251" s="183"/>
      <c r="U251" s="183"/>
      <c r="V251" s="183"/>
      <c r="W251" s="183"/>
      <c r="X251" s="183"/>
      <c r="Y251" s="183"/>
      <c r="Z251" s="183"/>
    </row>
    <row r="252" spans="1:26" ht="15" customHeight="1" x14ac:dyDescent="0.25">
      <c r="A252" s="183"/>
      <c r="B252" s="183"/>
      <c r="C252" s="183"/>
      <c r="D252" s="183"/>
      <c r="E252" s="183"/>
      <c r="F252" s="183"/>
      <c r="G252" s="183"/>
      <c r="H252" s="183"/>
      <c r="I252" s="183"/>
      <c r="J252" s="183"/>
      <c r="K252" s="183"/>
      <c r="L252" s="183"/>
      <c r="M252" s="183"/>
      <c r="N252" s="183"/>
      <c r="O252" s="183"/>
      <c r="P252" s="183"/>
      <c r="Q252" s="183"/>
      <c r="R252" s="183"/>
      <c r="S252" s="183"/>
      <c r="T252" s="183"/>
      <c r="U252" s="183"/>
      <c r="V252" s="183"/>
      <c r="W252" s="183"/>
      <c r="X252" s="183"/>
      <c r="Y252" s="183"/>
      <c r="Z252" s="183"/>
    </row>
    <row r="253" spans="1:26" ht="15" customHeight="1" x14ac:dyDescent="0.25">
      <c r="A253" s="183"/>
      <c r="B253" s="183"/>
      <c r="C253" s="183"/>
      <c r="D253" s="183"/>
      <c r="E253" s="183"/>
      <c r="F253" s="183"/>
      <c r="G253" s="183"/>
      <c r="H253" s="183"/>
      <c r="I253" s="183"/>
      <c r="J253" s="183"/>
      <c r="K253" s="183"/>
      <c r="L253" s="183"/>
      <c r="M253" s="183"/>
      <c r="N253" s="183"/>
      <c r="O253" s="183"/>
      <c r="P253" s="183"/>
      <c r="Q253" s="183"/>
      <c r="R253" s="183"/>
      <c r="S253" s="183"/>
      <c r="T253" s="183"/>
      <c r="U253" s="183"/>
      <c r="V253" s="183"/>
      <c r="W253" s="183"/>
      <c r="X253" s="183"/>
      <c r="Y253" s="183"/>
      <c r="Z253" s="183"/>
    </row>
    <row r="254" spans="1:26" ht="15" customHeight="1" x14ac:dyDescent="0.25">
      <c r="A254" s="183"/>
      <c r="B254" s="183"/>
      <c r="C254" s="183"/>
      <c r="D254" s="183"/>
      <c r="E254" s="183"/>
      <c r="F254" s="183"/>
      <c r="G254" s="183"/>
      <c r="H254" s="183"/>
      <c r="I254" s="183"/>
      <c r="J254" s="183"/>
      <c r="K254" s="183"/>
      <c r="L254" s="183"/>
      <c r="M254" s="183"/>
      <c r="N254" s="183"/>
      <c r="O254" s="183"/>
      <c r="P254" s="183"/>
      <c r="Q254" s="183"/>
      <c r="R254" s="183"/>
      <c r="S254" s="183"/>
      <c r="T254" s="183"/>
      <c r="U254" s="183"/>
      <c r="V254" s="183"/>
      <c r="W254" s="183"/>
      <c r="X254" s="183"/>
      <c r="Y254" s="183"/>
      <c r="Z254" s="183"/>
    </row>
    <row r="255" spans="1:26" ht="15" customHeight="1" x14ac:dyDescent="0.25">
      <c r="A255" s="183"/>
      <c r="B255" s="183"/>
      <c r="C255" s="183"/>
      <c r="D255" s="183"/>
      <c r="E255" s="183"/>
      <c r="F255" s="183"/>
      <c r="G255" s="183"/>
      <c r="H255" s="183"/>
      <c r="I255" s="183"/>
      <c r="J255" s="183"/>
      <c r="K255" s="183"/>
      <c r="L255" s="183"/>
      <c r="M255" s="183"/>
      <c r="N255" s="183"/>
      <c r="O255" s="183"/>
      <c r="P255" s="183"/>
      <c r="Q255" s="183"/>
      <c r="R255" s="183"/>
      <c r="S255" s="183"/>
      <c r="T255" s="183"/>
      <c r="U255" s="183"/>
      <c r="V255" s="183"/>
      <c r="W255" s="183"/>
      <c r="X255" s="183"/>
      <c r="Y255" s="183"/>
      <c r="Z255" s="183"/>
    </row>
    <row r="256" spans="1:26" ht="15" customHeight="1" x14ac:dyDescent="0.25">
      <c r="A256" s="183"/>
      <c r="B256" s="183"/>
      <c r="C256" s="183"/>
      <c r="D256" s="183"/>
      <c r="E256" s="183"/>
      <c r="F256" s="183"/>
      <c r="G256" s="183"/>
      <c r="H256" s="183"/>
      <c r="I256" s="183"/>
      <c r="J256" s="183"/>
      <c r="K256" s="183"/>
      <c r="L256" s="183"/>
      <c r="M256" s="183"/>
      <c r="N256" s="183"/>
      <c r="O256" s="183"/>
      <c r="P256" s="183"/>
      <c r="Q256" s="183"/>
      <c r="R256" s="183"/>
      <c r="S256" s="183"/>
      <c r="T256" s="183"/>
      <c r="U256" s="183"/>
      <c r="V256" s="183"/>
      <c r="W256" s="183"/>
      <c r="X256" s="183"/>
      <c r="Y256" s="183"/>
      <c r="Z256" s="183"/>
    </row>
    <row r="257" spans="1:26" ht="15" customHeight="1" x14ac:dyDescent="0.25">
      <c r="A257" s="183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83"/>
      <c r="O257" s="183"/>
      <c r="P257" s="183"/>
      <c r="Q257" s="183"/>
      <c r="R257" s="183"/>
      <c r="S257" s="183"/>
      <c r="T257" s="183"/>
      <c r="U257" s="183"/>
      <c r="V257" s="183"/>
      <c r="W257" s="183"/>
      <c r="X257" s="183"/>
      <c r="Y257" s="183"/>
      <c r="Z257" s="183"/>
    </row>
    <row r="258" spans="1:26" ht="15" customHeight="1" x14ac:dyDescent="0.25">
      <c r="A258" s="183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83"/>
      <c r="O258" s="183"/>
      <c r="P258" s="183"/>
      <c r="Q258" s="183"/>
      <c r="R258" s="183"/>
      <c r="S258" s="183"/>
      <c r="T258" s="183"/>
      <c r="U258" s="183"/>
      <c r="V258" s="183"/>
      <c r="W258" s="183"/>
      <c r="X258" s="183"/>
      <c r="Y258" s="183"/>
      <c r="Z258" s="183"/>
    </row>
    <row r="259" spans="1:26" ht="15" customHeight="1" x14ac:dyDescent="0.25">
      <c r="A259" s="183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183"/>
      <c r="O259" s="183"/>
      <c r="P259" s="183"/>
      <c r="Q259" s="183"/>
      <c r="R259" s="183"/>
      <c r="S259" s="183"/>
      <c r="T259" s="183"/>
      <c r="U259" s="183"/>
      <c r="V259" s="183"/>
      <c r="W259" s="183"/>
      <c r="X259" s="183"/>
      <c r="Y259" s="183"/>
      <c r="Z259" s="183"/>
    </row>
    <row r="260" spans="1:26" ht="15" customHeight="1" x14ac:dyDescent="0.25">
      <c r="A260" s="183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183"/>
      <c r="O260" s="183"/>
      <c r="P260" s="183"/>
      <c r="Q260" s="183"/>
      <c r="R260" s="183"/>
      <c r="S260" s="183"/>
      <c r="T260" s="183"/>
      <c r="U260" s="183"/>
      <c r="V260" s="183"/>
      <c r="W260" s="183"/>
      <c r="X260" s="183"/>
      <c r="Y260" s="183"/>
      <c r="Z260" s="183"/>
    </row>
    <row r="261" spans="1:26" ht="15" customHeight="1" x14ac:dyDescent="0.25">
      <c r="A261" s="183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83"/>
      <c r="O261" s="183"/>
      <c r="P261" s="183"/>
      <c r="Q261" s="183"/>
      <c r="R261" s="183"/>
      <c r="S261" s="183"/>
      <c r="T261" s="183"/>
      <c r="U261" s="183"/>
      <c r="V261" s="183"/>
      <c r="W261" s="183"/>
      <c r="X261" s="183"/>
      <c r="Y261" s="183"/>
      <c r="Z261" s="183"/>
    </row>
    <row r="262" spans="1:26" ht="15" customHeight="1" x14ac:dyDescent="0.25">
      <c r="A262" s="183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183"/>
      <c r="O262" s="183"/>
      <c r="P262" s="183"/>
      <c r="Q262" s="183"/>
      <c r="R262" s="183"/>
      <c r="S262" s="183"/>
      <c r="T262" s="183"/>
      <c r="U262" s="183"/>
      <c r="V262" s="183"/>
      <c r="W262" s="183"/>
      <c r="X262" s="183"/>
      <c r="Y262" s="183"/>
      <c r="Z262" s="183"/>
    </row>
    <row r="263" spans="1:26" ht="15" customHeight="1" x14ac:dyDescent="0.25">
      <c r="A263" s="183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83"/>
      <c r="O263" s="183"/>
      <c r="P263" s="183"/>
      <c r="Q263" s="183"/>
      <c r="R263" s="183"/>
      <c r="S263" s="183"/>
      <c r="T263" s="183"/>
      <c r="U263" s="183"/>
      <c r="V263" s="183"/>
      <c r="W263" s="183"/>
      <c r="X263" s="183"/>
      <c r="Y263" s="183"/>
      <c r="Z263" s="183"/>
    </row>
    <row r="264" spans="1:26" ht="15" customHeight="1" x14ac:dyDescent="0.25">
      <c r="A264" s="183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83"/>
      <c r="O264" s="183"/>
      <c r="P264" s="183"/>
      <c r="Q264" s="183"/>
      <c r="R264" s="183"/>
      <c r="S264" s="183"/>
      <c r="T264" s="183"/>
      <c r="U264" s="183"/>
      <c r="V264" s="183"/>
      <c r="W264" s="183"/>
      <c r="X264" s="183"/>
      <c r="Y264" s="183"/>
      <c r="Z264" s="183"/>
    </row>
    <row r="265" spans="1:26" ht="15" customHeight="1" x14ac:dyDescent="0.25">
      <c r="A265" s="183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83"/>
      <c r="O265" s="183"/>
      <c r="P265" s="183"/>
      <c r="Q265" s="183"/>
      <c r="R265" s="183"/>
      <c r="S265" s="183"/>
      <c r="T265" s="183"/>
      <c r="U265" s="183"/>
      <c r="V265" s="183"/>
      <c r="W265" s="183"/>
      <c r="X265" s="183"/>
      <c r="Y265" s="183"/>
      <c r="Z265" s="183"/>
    </row>
    <row r="266" spans="1:26" ht="15" customHeight="1" x14ac:dyDescent="0.25">
      <c r="A266" s="183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183"/>
      <c r="O266" s="183"/>
      <c r="P266" s="183"/>
      <c r="Q266" s="183"/>
      <c r="R266" s="183"/>
      <c r="S266" s="183"/>
      <c r="T266" s="183"/>
      <c r="U266" s="183"/>
      <c r="V266" s="183"/>
      <c r="W266" s="183"/>
      <c r="X266" s="183"/>
      <c r="Y266" s="183"/>
      <c r="Z266" s="183"/>
    </row>
    <row r="267" spans="1:26" ht="15" customHeight="1" x14ac:dyDescent="0.25">
      <c r="A267" s="183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83"/>
      <c r="O267" s="183"/>
      <c r="P267" s="183"/>
      <c r="Q267" s="183"/>
      <c r="R267" s="183"/>
      <c r="S267" s="183"/>
      <c r="T267" s="183"/>
      <c r="U267" s="183"/>
      <c r="V267" s="183"/>
      <c r="W267" s="183"/>
      <c r="X267" s="183"/>
      <c r="Y267" s="183"/>
      <c r="Z267" s="183"/>
    </row>
    <row r="268" spans="1:26" ht="15" customHeight="1" x14ac:dyDescent="0.25">
      <c r="A268" s="183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183"/>
      <c r="O268" s="183"/>
      <c r="P268" s="183"/>
      <c r="Q268" s="183"/>
      <c r="R268" s="183"/>
      <c r="S268" s="183"/>
      <c r="T268" s="183"/>
      <c r="U268" s="183"/>
      <c r="V268" s="183"/>
      <c r="W268" s="183"/>
      <c r="X268" s="183"/>
      <c r="Y268" s="183"/>
      <c r="Z268" s="183"/>
    </row>
    <row r="269" spans="1:26" ht="15" customHeight="1" x14ac:dyDescent="0.25">
      <c r="A269" s="183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183"/>
      <c r="O269" s="183"/>
      <c r="P269" s="183"/>
      <c r="Q269" s="183"/>
      <c r="R269" s="183"/>
      <c r="S269" s="183"/>
      <c r="T269" s="183"/>
      <c r="U269" s="183"/>
      <c r="V269" s="183"/>
      <c r="W269" s="183"/>
      <c r="X269" s="183"/>
      <c r="Y269" s="183"/>
      <c r="Z269" s="183"/>
    </row>
    <row r="270" spans="1:26" ht="15" customHeight="1" x14ac:dyDescent="0.25">
      <c r="A270" s="183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83"/>
      <c r="O270" s="183"/>
      <c r="P270" s="183"/>
      <c r="Q270" s="183"/>
      <c r="R270" s="183"/>
      <c r="S270" s="183"/>
      <c r="T270" s="183"/>
      <c r="U270" s="183"/>
      <c r="V270" s="183"/>
      <c r="W270" s="183"/>
      <c r="X270" s="183"/>
      <c r="Y270" s="183"/>
      <c r="Z270" s="183"/>
    </row>
    <row r="271" spans="1:26" ht="15" customHeight="1" x14ac:dyDescent="0.25">
      <c r="A271" s="183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183"/>
      <c r="O271" s="183"/>
      <c r="P271" s="183"/>
      <c r="Q271" s="183"/>
      <c r="R271" s="183"/>
      <c r="S271" s="183"/>
      <c r="T271" s="183"/>
      <c r="U271" s="183"/>
      <c r="V271" s="183"/>
      <c r="W271" s="183"/>
      <c r="X271" s="183"/>
      <c r="Y271" s="183"/>
      <c r="Z271" s="183"/>
    </row>
    <row r="272" spans="1:26" ht="15" customHeight="1" x14ac:dyDescent="0.25">
      <c r="A272" s="183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X272" s="183"/>
      <c r="Y272" s="183"/>
      <c r="Z272" s="183"/>
    </row>
    <row r="273" spans="1:26" ht="15" customHeight="1" x14ac:dyDescent="0.25">
      <c r="A273" s="183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183"/>
      <c r="O273" s="183"/>
      <c r="P273" s="183"/>
      <c r="Q273" s="183"/>
      <c r="R273" s="183"/>
      <c r="S273" s="183"/>
      <c r="T273" s="183"/>
      <c r="U273" s="183"/>
      <c r="V273" s="183"/>
      <c r="W273" s="183"/>
      <c r="X273" s="183"/>
      <c r="Y273" s="183"/>
      <c r="Z273" s="183"/>
    </row>
    <row r="274" spans="1:26" ht="15" customHeight="1" x14ac:dyDescent="0.25">
      <c r="A274" s="183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183"/>
      <c r="O274" s="183"/>
      <c r="P274" s="183"/>
      <c r="Q274" s="183"/>
      <c r="R274" s="183"/>
      <c r="S274" s="183"/>
      <c r="T274" s="183"/>
      <c r="U274" s="183"/>
      <c r="V274" s="183"/>
      <c r="W274" s="183"/>
      <c r="X274" s="183"/>
      <c r="Y274" s="183"/>
      <c r="Z274" s="183"/>
    </row>
    <row r="275" spans="1:26" ht="15" customHeight="1" x14ac:dyDescent="0.25">
      <c r="A275" s="183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83"/>
      <c r="O275" s="183"/>
      <c r="P275" s="183"/>
      <c r="Q275" s="183"/>
      <c r="R275" s="183"/>
      <c r="S275" s="183"/>
      <c r="T275" s="183"/>
      <c r="U275" s="183"/>
      <c r="V275" s="183"/>
      <c r="W275" s="183"/>
      <c r="X275" s="183"/>
      <c r="Y275" s="183"/>
      <c r="Z275" s="183"/>
    </row>
    <row r="276" spans="1:26" ht="15" customHeight="1" x14ac:dyDescent="0.25">
      <c r="A276" s="183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183"/>
      <c r="O276" s="183"/>
      <c r="P276" s="183"/>
      <c r="Q276" s="183"/>
      <c r="R276" s="183"/>
      <c r="S276" s="183"/>
      <c r="T276" s="183"/>
      <c r="U276" s="183"/>
      <c r="V276" s="183"/>
      <c r="W276" s="183"/>
      <c r="X276" s="183"/>
      <c r="Y276" s="183"/>
      <c r="Z276" s="183"/>
    </row>
    <row r="277" spans="1:26" ht="15" customHeight="1" x14ac:dyDescent="0.25">
      <c r="A277" s="183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183"/>
      <c r="O277" s="183"/>
      <c r="P277" s="183"/>
      <c r="Q277" s="183"/>
      <c r="R277" s="183"/>
      <c r="S277" s="183"/>
      <c r="T277" s="183"/>
      <c r="U277" s="183"/>
      <c r="V277" s="183"/>
      <c r="W277" s="183"/>
      <c r="X277" s="183"/>
      <c r="Y277" s="183"/>
      <c r="Z277" s="183"/>
    </row>
    <row r="278" spans="1:26" ht="15" customHeight="1" x14ac:dyDescent="0.25">
      <c r="A278" s="183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183"/>
      <c r="O278" s="183"/>
      <c r="P278" s="183"/>
      <c r="Q278" s="183"/>
      <c r="R278" s="183"/>
      <c r="S278" s="183"/>
      <c r="T278" s="183"/>
      <c r="U278" s="183"/>
      <c r="V278" s="183"/>
      <c r="W278" s="183"/>
      <c r="X278" s="183"/>
      <c r="Y278" s="183"/>
      <c r="Z278" s="183"/>
    </row>
    <row r="279" spans="1:26" ht="15" customHeight="1" x14ac:dyDescent="0.25">
      <c r="A279" s="183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183"/>
      <c r="O279" s="183"/>
      <c r="P279" s="183"/>
      <c r="Q279" s="183"/>
      <c r="R279" s="183"/>
      <c r="S279" s="183"/>
      <c r="T279" s="183"/>
      <c r="U279" s="183"/>
      <c r="V279" s="183"/>
      <c r="W279" s="183"/>
      <c r="X279" s="183"/>
      <c r="Y279" s="183"/>
      <c r="Z279" s="183"/>
    </row>
    <row r="280" spans="1:26" ht="15" customHeight="1" x14ac:dyDescent="0.25">
      <c r="A280" s="183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83"/>
      <c r="O280" s="183"/>
      <c r="P280" s="183"/>
      <c r="Q280" s="183"/>
      <c r="R280" s="183"/>
      <c r="S280" s="183"/>
      <c r="T280" s="183"/>
      <c r="U280" s="183"/>
      <c r="V280" s="183"/>
      <c r="W280" s="183"/>
      <c r="X280" s="183"/>
      <c r="Y280" s="183"/>
      <c r="Z280" s="183"/>
    </row>
    <row r="281" spans="1:26" ht="15" customHeight="1" x14ac:dyDescent="0.25">
      <c r="A281" s="183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83"/>
      <c r="O281" s="183"/>
      <c r="P281" s="183"/>
      <c r="Q281" s="183"/>
      <c r="R281" s="183"/>
      <c r="S281" s="183"/>
      <c r="T281" s="183"/>
      <c r="U281" s="183"/>
      <c r="V281" s="183"/>
      <c r="W281" s="183"/>
      <c r="X281" s="183"/>
      <c r="Y281" s="183"/>
      <c r="Z281" s="183"/>
    </row>
    <row r="282" spans="1:26" ht="15" customHeight="1" x14ac:dyDescent="0.25">
      <c r="A282" s="183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83"/>
      <c r="O282" s="183"/>
      <c r="P282" s="183"/>
      <c r="Q282" s="183"/>
      <c r="R282" s="183"/>
      <c r="S282" s="183"/>
      <c r="T282" s="183"/>
      <c r="U282" s="183"/>
      <c r="V282" s="183"/>
      <c r="W282" s="183"/>
      <c r="X282" s="183"/>
      <c r="Y282" s="183"/>
      <c r="Z282" s="183"/>
    </row>
    <row r="283" spans="1:26" ht="15" customHeight="1" x14ac:dyDescent="0.25">
      <c r="A283" s="183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83"/>
      <c r="O283" s="183"/>
      <c r="P283" s="183"/>
      <c r="Q283" s="183"/>
      <c r="R283" s="183"/>
      <c r="S283" s="183"/>
      <c r="T283" s="183"/>
      <c r="U283" s="183"/>
      <c r="V283" s="183"/>
      <c r="W283" s="183"/>
      <c r="X283" s="183"/>
      <c r="Y283" s="183"/>
      <c r="Z283" s="183"/>
    </row>
    <row r="284" spans="1:26" ht="15" customHeight="1" x14ac:dyDescent="0.25">
      <c r="A284" s="183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183"/>
      <c r="O284" s="183"/>
      <c r="P284" s="183"/>
      <c r="Q284" s="183"/>
      <c r="R284" s="183"/>
      <c r="S284" s="183"/>
      <c r="T284" s="183"/>
      <c r="U284" s="183"/>
      <c r="V284" s="183"/>
      <c r="W284" s="183"/>
      <c r="X284" s="183"/>
      <c r="Y284" s="183"/>
      <c r="Z284" s="183"/>
    </row>
    <row r="285" spans="1:26" ht="15" customHeight="1" x14ac:dyDescent="0.25">
      <c r="A285" s="183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183"/>
      <c r="O285" s="183"/>
      <c r="P285" s="183"/>
      <c r="Q285" s="183"/>
      <c r="R285" s="183"/>
      <c r="S285" s="183"/>
      <c r="T285" s="183"/>
      <c r="U285" s="183"/>
      <c r="V285" s="183"/>
      <c r="W285" s="183"/>
      <c r="X285" s="183"/>
      <c r="Y285" s="183"/>
      <c r="Z285" s="183"/>
    </row>
    <row r="286" spans="1:26" ht="15" customHeight="1" x14ac:dyDescent="0.25">
      <c r="A286" s="183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83"/>
      <c r="O286" s="183"/>
      <c r="P286" s="183"/>
      <c r="Q286" s="183"/>
      <c r="R286" s="183"/>
      <c r="S286" s="183"/>
      <c r="T286" s="183"/>
      <c r="U286" s="183"/>
      <c r="V286" s="183"/>
      <c r="W286" s="183"/>
      <c r="X286" s="183"/>
      <c r="Y286" s="183"/>
      <c r="Z286" s="183"/>
    </row>
    <row r="287" spans="1:26" ht="15" customHeight="1" x14ac:dyDescent="0.25">
      <c r="A287" s="183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83"/>
      <c r="O287" s="183"/>
      <c r="P287" s="183"/>
      <c r="Q287" s="183"/>
      <c r="R287" s="183"/>
      <c r="S287" s="183"/>
      <c r="T287" s="183"/>
      <c r="U287" s="183"/>
      <c r="V287" s="183"/>
      <c r="W287" s="183"/>
      <c r="X287" s="183"/>
      <c r="Y287" s="183"/>
      <c r="Z287" s="183"/>
    </row>
    <row r="288" spans="1:26" ht="15" customHeight="1" x14ac:dyDescent="0.25">
      <c r="A288" s="183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83"/>
      <c r="O288" s="183"/>
      <c r="P288" s="183"/>
      <c r="Q288" s="183"/>
      <c r="R288" s="183"/>
      <c r="S288" s="183"/>
      <c r="T288" s="183"/>
      <c r="U288" s="183"/>
      <c r="V288" s="183"/>
      <c r="W288" s="183"/>
      <c r="X288" s="183"/>
      <c r="Y288" s="183"/>
      <c r="Z288" s="183"/>
    </row>
    <row r="289" spans="1:26" ht="15" customHeight="1" x14ac:dyDescent="0.25">
      <c r="A289" s="183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83"/>
      <c r="O289" s="183"/>
      <c r="P289" s="183"/>
      <c r="Q289" s="183"/>
      <c r="R289" s="183"/>
      <c r="S289" s="183"/>
      <c r="T289" s="183"/>
      <c r="U289" s="183"/>
      <c r="V289" s="183"/>
      <c r="W289" s="183"/>
      <c r="X289" s="183"/>
      <c r="Y289" s="183"/>
      <c r="Z289" s="183"/>
    </row>
    <row r="290" spans="1:26" ht="15" customHeight="1" x14ac:dyDescent="0.25">
      <c r="A290" s="183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83"/>
      <c r="O290" s="183"/>
      <c r="P290" s="183"/>
      <c r="Q290" s="183"/>
      <c r="R290" s="183"/>
      <c r="S290" s="183"/>
      <c r="T290" s="183"/>
      <c r="U290" s="183"/>
      <c r="V290" s="183"/>
      <c r="W290" s="183"/>
      <c r="X290" s="183"/>
      <c r="Y290" s="183"/>
      <c r="Z290" s="183"/>
    </row>
    <row r="291" spans="1:26" ht="15" customHeight="1" x14ac:dyDescent="0.25">
      <c r="A291" s="183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183"/>
      <c r="O291" s="183"/>
      <c r="P291" s="183"/>
      <c r="Q291" s="183"/>
      <c r="R291" s="183"/>
      <c r="S291" s="183"/>
      <c r="T291" s="183"/>
      <c r="U291" s="183"/>
      <c r="V291" s="183"/>
      <c r="W291" s="183"/>
      <c r="X291" s="183"/>
      <c r="Y291" s="183"/>
      <c r="Z291" s="183"/>
    </row>
    <row r="292" spans="1:26" ht="15" customHeight="1" x14ac:dyDescent="0.25">
      <c r="A292" s="183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183"/>
      <c r="O292" s="183"/>
      <c r="P292" s="183"/>
      <c r="Q292" s="183"/>
      <c r="R292" s="183"/>
      <c r="S292" s="183"/>
      <c r="T292" s="183"/>
      <c r="U292" s="183"/>
      <c r="V292" s="183"/>
      <c r="W292" s="183"/>
      <c r="X292" s="183"/>
      <c r="Y292" s="183"/>
      <c r="Z292" s="183"/>
    </row>
    <row r="293" spans="1:26" ht="15" customHeight="1" x14ac:dyDescent="0.25">
      <c r="A293" s="183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183"/>
      <c r="O293" s="183"/>
      <c r="P293" s="183"/>
      <c r="Q293" s="183"/>
      <c r="R293" s="183"/>
      <c r="S293" s="183"/>
      <c r="T293" s="183"/>
      <c r="U293" s="183"/>
      <c r="V293" s="183"/>
      <c r="W293" s="183"/>
      <c r="X293" s="183"/>
      <c r="Y293" s="183"/>
      <c r="Z293" s="183"/>
    </row>
    <row r="294" spans="1:26" ht="15" customHeight="1" x14ac:dyDescent="0.25">
      <c r="A294" s="183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183"/>
      <c r="O294" s="183"/>
      <c r="P294" s="183"/>
      <c r="Q294" s="183"/>
      <c r="R294" s="183"/>
      <c r="S294" s="183"/>
      <c r="T294" s="183"/>
      <c r="U294" s="183"/>
      <c r="V294" s="183"/>
      <c r="W294" s="183"/>
      <c r="X294" s="183"/>
      <c r="Y294" s="183"/>
      <c r="Z294" s="183"/>
    </row>
    <row r="295" spans="1:26" ht="15" customHeight="1" x14ac:dyDescent="0.25">
      <c r="A295" s="183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83"/>
      <c r="O295" s="183"/>
      <c r="P295" s="183"/>
      <c r="Q295" s="183"/>
      <c r="R295" s="183"/>
      <c r="S295" s="183"/>
      <c r="T295" s="183"/>
      <c r="U295" s="183"/>
      <c r="V295" s="183"/>
      <c r="W295" s="183"/>
      <c r="X295" s="183"/>
      <c r="Y295" s="183"/>
      <c r="Z295" s="183"/>
    </row>
    <row r="296" spans="1:26" ht="15" customHeight="1" x14ac:dyDescent="0.25">
      <c r="A296" s="183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183"/>
      <c r="O296" s="183"/>
      <c r="P296" s="183"/>
      <c r="Q296" s="183"/>
      <c r="R296" s="183"/>
      <c r="S296" s="183"/>
      <c r="T296" s="183"/>
      <c r="U296" s="183"/>
      <c r="V296" s="183"/>
      <c r="W296" s="183"/>
      <c r="X296" s="183"/>
      <c r="Y296" s="183"/>
      <c r="Z296" s="183"/>
    </row>
    <row r="297" spans="1:26" ht="15" customHeight="1" x14ac:dyDescent="0.25">
      <c r="A297" s="183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183"/>
      <c r="O297" s="183"/>
      <c r="P297" s="183"/>
      <c r="Q297" s="183"/>
      <c r="R297" s="183"/>
      <c r="S297" s="183"/>
      <c r="T297" s="183"/>
      <c r="U297" s="183"/>
      <c r="V297" s="183"/>
      <c r="W297" s="183"/>
      <c r="X297" s="183"/>
      <c r="Y297" s="183"/>
      <c r="Z297" s="183"/>
    </row>
    <row r="298" spans="1:26" ht="15" customHeight="1" x14ac:dyDescent="0.25">
      <c r="A298" s="183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183"/>
      <c r="O298" s="183"/>
      <c r="P298" s="183"/>
      <c r="Q298" s="183"/>
      <c r="R298" s="183"/>
      <c r="S298" s="183"/>
      <c r="T298" s="183"/>
      <c r="U298" s="183"/>
      <c r="V298" s="183"/>
      <c r="W298" s="183"/>
      <c r="X298" s="183"/>
      <c r="Y298" s="183"/>
      <c r="Z298" s="183"/>
    </row>
    <row r="299" spans="1:26" ht="15" customHeight="1" x14ac:dyDescent="0.25">
      <c r="A299" s="183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183"/>
      <c r="O299" s="183"/>
      <c r="P299" s="183"/>
      <c r="Q299" s="183"/>
      <c r="R299" s="183"/>
      <c r="S299" s="183"/>
      <c r="T299" s="183"/>
      <c r="U299" s="183"/>
      <c r="V299" s="183"/>
      <c r="W299" s="183"/>
      <c r="X299" s="183"/>
      <c r="Y299" s="183"/>
      <c r="Z299" s="183"/>
    </row>
    <row r="300" spans="1:26" ht="15" customHeight="1" x14ac:dyDescent="0.25">
      <c r="A300" s="183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183"/>
      <c r="O300" s="183"/>
      <c r="P300" s="183"/>
      <c r="Q300" s="183"/>
      <c r="R300" s="183"/>
      <c r="S300" s="183"/>
      <c r="T300" s="183"/>
      <c r="U300" s="183"/>
      <c r="V300" s="183"/>
      <c r="W300" s="183"/>
      <c r="X300" s="183"/>
      <c r="Y300" s="183"/>
      <c r="Z300" s="183"/>
    </row>
    <row r="301" spans="1:26" ht="15" customHeight="1" x14ac:dyDescent="0.25">
      <c r="A301" s="183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183"/>
      <c r="O301" s="183"/>
      <c r="P301" s="183"/>
      <c r="Q301" s="183"/>
      <c r="R301" s="183"/>
      <c r="S301" s="183"/>
      <c r="T301" s="183"/>
      <c r="U301" s="183"/>
      <c r="V301" s="183"/>
      <c r="W301" s="183"/>
      <c r="X301" s="183"/>
      <c r="Y301" s="183"/>
      <c r="Z301" s="183"/>
    </row>
    <row r="302" spans="1:26" ht="15" customHeight="1" x14ac:dyDescent="0.25">
      <c r="A302" s="183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83"/>
      <c r="O302" s="183"/>
      <c r="P302" s="183"/>
      <c r="Q302" s="183"/>
      <c r="R302" s="183"/>
      <c r="S302" s="183"/>
      <c r="T302" s="183"/>
      <c r="U302" s="183"/>
      <c r="V302" s="183"/>
      <c r="W302" s="183"/>
      <c r="X302" s="183"/>
      <c r="Y302" s="183"/>
      <c r="Z302" s="183"/>
    </row>
    <row r="303" spans="1:26" ht="15" customHeight="1" x14ac:dyDescent="0.25">
      <c r="A303" s="183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183"/>
      <c r="O303" s="183"/>
      <c r="P303" s="183"/>
      <c r="Q303" s="183"/>
      <c r="R303" s="183"/>
      <c r="S303" s="183"/>
      <c r="T303" s="183"/>
      <c r="U303" s="183"/>
      <c r="V303" s="183"/>
      <c r="W303" s="183"/>
      <c r="X303" s="183"/>
      <c r="Y303" s="183"/>
      <c r="Z303" s="183"/>
    </row>
    <row r="304" spans="1:26" ht="15" customHeight="1" x14ac:dyDescent="0.25">
      <c r="A304" s="183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83"/>
      <c r="O304" s="183"/>
      <c r="P304" s="183"/>
      <c r="Q304" s="183"/>
      <c r="R304" s="183"/>
      <c r="S304" s="183"/>
      <c r="T304" s="183"/>
      <c r="U304" s="183"/>
      <c r="V304" s="183"/>
      <c r="W304" s="183"/>
      <c r="X304" s="183"/>
      <c r="Y304" s="183"/>
      <c r="Z304" s="183"/>
    </row>
    <row r="305" spans="1:26" ht="15" customHeight="1" x14ac:dyDescent="0.25">
      <c r="A305" s="18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83"/>
      <c r="O305" s="183"/>
      <c r="P305" s="183"/>
      <c r="Q305" s="183"/>
      <c r="R305" s="183"/>
      <c r="S305" s="183"/>
      <c r="T305" s="183"/>
      <c r="U305" s="183"/>
      <c r="V305" s="183"/>
      <c r="W305" s="183"/>
      <c r="X305" s="183"/>
      <c r="Y305" s="183"/>
      <c r="Z305" s="183"/>
    </row>
    <row r="306" spans="1:26" ht="15" customHeight="1" x14ac:dyDescent="0.25">
      <c r="A306" s="18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83"/>
      <c r="O306" s="183"/>
      <c r="P306" s="183"/>
      <c r="Q306" s="183"/>
      <c r="R306" s="183"/>
      <c r="S306" s="183"/>
      <c r="T306" s="183"/>
      <c r="U306" s="183"/>
      <c r="V306" s="183"/>
      <c r="W306" s="183"/>
      <c r="X306" s="183"/>
      <c r="Y306" s="183"/>
      <c r="Z306" s="183"/>
    </row>
    <row r="307" spans="1:26" ht="15" customHeight="1" x14ac:dyDescent="0.25">
      <c r="A307" s="183"/>
      <c r="B307" s="183"/>
      <c r="C307" s="183"/>
      <c r="D307" s="183"/>
      <c r="E307" s="183"/>
      <c r="F307" s="183"/>
      <c r="G307" s="183"/>
      <c r="H307" s="183"/>
      <c r="I307" s="183"/>
      <c r="J307" s="183"/>
      <c r="K307" s="183"/>
      <c r="L307" s="183"/>
      <c r="M307" s="183"/>
      <c r="N307" s="183"/>
      <c r="O307" s="183"/>
      <c r="P307" s="183"/>
      <c r="Q307" s="183"/>
      <c r="R307" s="183"/>
      <c r="S307" s="183"/>
      <c r="T307" s="183"/>
      <c r="U307" s="183"/>
      <c r="V307" s="183"/>
      <c r="W307" s="183"/>
      <c r="X307" s="183"/>
      <c r="Y307" s="183"/>
      <c r="Z307" s="183"/>
    </row>
    <row r="308" spans="1:26" ht="15" customHeight="1" x14ac:dyDescent="0.25">
      <c r="A308" s="183"/>
      <c r="B308" s="183"/>
      <c r="C308" s="183"/>
      <c r="D308" s="183"/>
      <c r="E308" s="183"/>
      <c r="F308" s="183"/>
      <c r="G308" s="183"/>
      <c r="H308" s="183"/>
      <c r="I308" s="183"/>
      <c r="J308" s="183"/>
      <c r="K308" s="183"/>
      <c r="L308" s="183"/>
      <c r="M308" s="183"/>
      <c r="N308" s="183"/>
      <c r="O308" s="183"/>
      <c r="P308" s="183"/>
      <c r="Q308" s="183"/>
      <c r="R308" s="183"/>
      <c r="S308" s="183"/>
      <c r="T308" s="183"/>
      <c r="U308" s="183"/>
      <c r="V308" s="183"/>
      <c r="W308" s="183"/>
      <c r="X308" s="183"/>
      <c r="Y308" s="183"/>
      <c r="Z308" s="183"/>
    </row>
    <row r="309" spans="1:26" ht="15" customHeight="1" x14ac:dyDescent="0.25">
      <c r="A309" s="183"/>
      <c r="B309" s="183"/>
      <c r="C309" s="183"/>
      <c r="D309" s="183"/>
      <c r="E309" s="183"/>
      <c r="F309" s="183"/>
      <c r="G309" s="183"/>
      <c r="H309" s="183"/>
      <c r="I309" s="183"/>
      <c r="J309" s="183"/>
      <c r="K309" s="183"/>
      <c r="L309" s="183"/>
      <c r="M309" s="183"/>
      <c r="N309" s="183"/>
      <c r="O309" s="183"/>
      <c r="P309" s="183"/>
      <c r="Q309" s="183"/>
      <c r="R309" s="183"/>
      <c r="S309" s="183"/>
      <c r="T309" s="183"/>
      <c r="U309" s="183"/>
      <c r="V309" s="183"/>
      <c r="W309" s="183"/>
      <c r="X309" s="183"/>
      <c r="Y309" s="183"/>
      <c r="Z309" s="183"/>
    </row>
    <row r="310" spans="1:26" ht="15" customHeight="1" x14ac:dyDescent="0.25">
      <c r="A310" s="183"/>
      <c r="B310" s="183"/>
      <c r="C310" s="183"/>
      <c r="D310" s="183"/>
      <c r="E310" s="183"/>
      <c r="F310" s="183"/>
      <c r="G310" s="183"/>
      <c r="H310" s="183"/>
      <c r="I310" s="183"/>
      <c r="J310" s="183"/>
      <c r="K310" s="183"/>
      <c r="L310" s="183"/>
      <c r="M310" s="183"/>
      <c r="N310" s="183"/>
      <c r="O310" s="183"/>
      <c r="P310" s="183"/>
      <c r="Q310" s="183"/>
      <c r="R310" s="183"/>
      <c r="S310" s="183"/>
      <c r="T310" s="183"/>
      <c r="U310" s="183"/>
      <c r="V310" s="183"/>
      <c r="W310" s="183"/>
      <c r="X310" s="183"/>
      <c r="Y310" s="183"/>
      <c r="Z310" s="183"/>
    </row>
    <row r="311" spans="1:26" ht="15" customHeight="1" x14ac:dyDescent="0.25">
      <c r="A311" s="183"/>
      <c r="B311" s="183"/>
      <c r="C311" s="183"/>
      <c r="D311" s="183"/>
      <c r="E311" s="183"/>
      <c r="F311" s="183"/>
      <c r="G311" s="183"/>
      <c r="H311" s="183"/>
      <c r="I311" s="183"/>
      <c r="J311" s="183"/>
      <c r="K311" s="183"/>
      <c r="L311" s="183"/>
      <c r="M311" s="183"/>
      <c r="N311" s="183"/>
      <c r="O311" s="183"/>
      <c r="P311" s="183"/>
      <c r="Q311" s="183"/>
      <c r="R311" s="183"/>
      <c r="S311" s="183"/>
      <c r="T311" s="183"/>
      <c r="U311" s="183"/>
      <c r="V311" s="183"/>
      <c r="W311" s="183"/>
      <c r="X311" s="183"/>
      <c r="Y311" s="183"/>
      <c r="Z311" s="183"/>
    </row>
    <row r="312" spans="1:26" ht="15" customHeight="1" x14ac:dyDescent="0.25">
      <c r="A312" s="183"/>
      <c r="B312" s="183"/>
      <c r="C312" s="183"/>
      <c r="D312" s="183"/>
      <c r="E312" s="183"/>
      <c r="F312" s="183"/>
      <c r="G312" s="183"/>
      <c r="H312" s="183"/>
      <c r="I312" s="183"/>
      <c r="J312" s="183"/>
      <c r="K312" s="183"/>
      <c r="L312" s="183"/>
      <c r="M312" s="183"/>
      <c r="N312" s="183"/>
      <c r="O312" s="183"/>
      <c r="P312" s="183"/>
      <c r="Q312" s="183"/>
      <c r="R312" s="183"/>
      <c r="S312" s="183"/>
      <c r="T312" s="183"/>
      <c r="U312" s="183"/>
      <c r="V312" s="183"/>
      <c r="W312" s="183"/>
      <c r="X312" s="183"/>
      <c r="Y312" s="183"/>
      <c r="Z312" s="183"/>
    </row>
    <row r="313" spans="1:26" ht="15" customHeight="1" x14ac:dyDescent="0.25">
      <c r="A313" s="183"/>
      <c r="B313" s="183"/>
      <c r="C313" s="183"/>
      <c r="D313" s="183"/>
      <c r="E313" s="183"/>
      <c r="F313" s="183"/>
      <c r="G313" s="183"/>
      <c r="H313" s="183"/>
      <c r="I313" s="183"/>
      <c r="J313" s="183"/>
      <c r="K313" s="183"/>
      <c r="L313" s="183"/>
      <c r="M313" s="183"/>
      <c r="N313" s="183"/>
      <c r="O313" s="183"/>
      <c r="P313" s="183"/>
      <c r="Q313" s="183"/>
      <c r="R313" s="183"/>
      <c r="S313" s="183"/>
      <c r="T313" s="183"/>
      <c r="U313" s="183"/>
      <c r="V313" s="183"/>
      <c r="W313" s="183"/>
      <c r="X313" s="183"/>
      <c r="Y313" s="183"/>
      <c r="Z313" s="183"/>
    </row>
    <row r="314" spans="1:26" ht="15" customHeight="1" x14ac:dyDescent="0.25">
      <c r="A314" s="183"/>
      <c r="B314" s="183"/>
      <c r="C314" s="183"/>
      <c r="D314" s="183"/>
      <c r="E314" s="183"/>
      <c r="F314" s="183"/>
      <c r="G314" s="183"/>
      <c r="H314" s="183"/>
      <c r="I314" s="183"/>
      <c r="J314" s="183"/>
      <c r="K314" s="183"/>
      <c r="L314" s="183"/>
      <c r="M314" s="183"/>
      <c r="N314" s="183"/>
      <c r="O314" s="183"/>
      <c r="P314" s="183"/>
      <c r="Q314" s="183"/>
      <c r="R314" s="183"/>
      <c r="S314" s="183"/>
      <c r="T314" s="183"/>
      <c r="U314" s="183"/>
      <c r="V314" s="183"/>
      <c r="W314" s="183"/>
      <c r="X314" s="183"/>
      <c r="Y314" s="183"/>
      <c r="Z314" s="183"/>
    </row>
    <row r="315" spans="1:26" ht="15" customHeight="1" x14ac:dyDescent="0.25">
      <c r="A315" s="183"/>
      <c r="B315" s="183"/>
      <c r="C315" s="183"/>
      <c r="D315" s="183"/>
      <c r="E315" s="183"/>
      <c r="F315" s="183"/>
      <c r="G315" s="183"/>
      <c r="H315" s="183"/>
      <c r="I315" s="183"/>
      <c r="J315" s="183"/>
      <c r="K315" s="183"/>
      <c r="L315" s="183"/>
      <c r="M315" s="183"/>
      <c r="N315" s="183"/>
      <c r="O315" s="183"/>
      <c r="P315" s="183"/>
      <c r="Q315" s="183"/>
      <c r="R315" s="183"/>
      <c r="S315" s="183"/>
      <c r="T315" s="183"/>
      <c r="U315" s="183"/>
      <c r="V315" s="183"/>
      <c r="W315" s="183"/>
      <c r="X315" s="183"/>
      <c r="Y315" s="183"/>
      <c r="Z315" s="183"/>
    </row>
    <row r="316" spans="1:26" ht="15" customHeight="1" x14ac:dyDescent="0.25">
      <c r="A316" s="183"/>
      <c r="B316" s="183"/>
      <c r="C316" s="183"/>
      <c r="D316" s="183"/>
      <c r="E316" s="183"/>
      <c r="F316" s="183"/>
      <c r="G316" s="183"/>
      <c r="H316" s="183"/>
      <c r="I316" s="183"/>
      <c r="J316" s="183"/>
      <c r="K316" s="183"/>
      <c r="L316" s="183"/>
      <c r="M316" s="183"/>
      <c r="N316" s="183"/>
      <c r="O316" s="183"/>
      <c r="P316" s="183"/>
      <c r="Q316" s="183"/>
      <c r="R316" s="183"/>
      <c r="S316" s="183"/>
      <c r="T316" s="183"/>
      <c r="U316" s="183"/>
      <c r="V316" s="183"/>
      <c r="W316" s="183"/>
      <c r="X316" s="183"/>
      <c r="Y316" s="183"/>
      <c r="Z316" s="183"/>
    </row>
    <row r="317" spans="1:26" ht="15" customHeight="1" x14ac:dyDescent="0.25">
      <c r="A317" s="183"/>
      <c r="B317" s="183"/>
      <c r="C317" s="183"/>
      <c r="D317" s="183"/>
      <c r="E317" s="183"/>
      <c r="F317" s="183"/>
      <c r="G317" s="183"/>
      <c r="H317" s="183"/>
      <c r="I317" s="183"/>
      <c r="J317" s="183"/>
      <c r="K317" s="183"/>
      <c r="L317" s="183"/>
      <c r="M317" s="183"/>
      <c r="N317" s="183"/>
      <c r="O317" s="183"/>
      <c r="P317" s="183"/>
      <c r="Q317" s="183"/>
      <c r="R317" s="183"/>
      <c r="S317" s="183"/>
      <c r="T317" s="183"/>
      <c r="U317" s="183"/>
      <c r="V317" s="183"/>
      <c r="W317" s="183"/>
      <c r="X317" s="183"/>
      <c r="Y317" s="183"/>
      <c r="Z317" s="183"/>
    </row>
    <row r="318" spans="1:26" ht="15" customHeight="1" x14ac:dyDescent="0.25">
      <c r="A318" s="183"/>
      <c r="B318" s="183"/>
      <c r="C318" s="183"/>
      <c r="D318" s="183"/>
      <c r="E318" s="183"/>
      <c r="F318" s="183"/>
      <c r="G318" s="183"/>
      <c r="H318" s="183"/>
      <c r="I318" s="183"/>
      <c r="J318" s="183"/>
      <c r="K318" s="183"/>
      <c r="L318" s="183"/>
      <c r="M318" s="183"/>
      <c r="N318" s="183"/>
      <c r="O318" s="183"/>
      <c r="P318" s="183"/>
      <c r="Q318" s="183"/>
      <c r="R318" s="183"/>
      <c r="S318" s="183"/>
      <c r="T318" s="183"/>
      <c r="U318" s="183"/>
      <c r="V318" s="183"/>
      <c r="W318" s="183"/>
      <c r="X318" s="183"/>
      <c r="Y318" s="183"/>
      <c r="Z318" s="183"/>
    </row>
    <row r="319" spans="1:26" ht="15" customHeight="1" x14ac:dyDescent="0.25">
      <c r="A319" s="183"/>
      <c r="B319" s="183"/>
      <c r="C319" s="183"/>
      <c r="D319" s="183"/>
      <c r="E319" s="183"/>
      <c r="F319" s="183"/>
      <c r="G319" s="183"/>
      <c r="H319" s="183"/>
      <c r="I319" s="183"/>
      <c r="J319" s="183"/>
      <c r="K319" s="183"/>
      <c r="L319" s="183"/>
      <c r="M319" s="183"/>
      <c r="N319" s="183"/>
      <c r="O319" s="183"/>
      <c r="P319" s="183"/>
      <c r="Q319" s="183"/>
      <c r="R319" s="183"/>
      <c r="S319" s="183"/>
      <c r="T319" s="183"/>
      <c r="U319" s="183"/>
      <c r="V319" s="183"/>
      <c r="W319" s="183"/>
      <c r="X319" s="183"/>
      <c r="Y319" s="183"/>
      <c r="Z319" s="183"/>
    </row>
    <row r="320" spans="1:26" ht="15" customHeight="1" x14ac:dyDescent="0.25">
      <c r="A320" s="183"/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3"/>
      <c r="Q320" s="183"/>
      <c r="R320" s="183"/>
      <c r="S320" s="183"/>
      <c r="T320" s="183"/>
      <c r="U320" s="183"/>
      <c r="V320" s="183"/>
      <c r="W320" s="183"/>
      <c r="X320" s="183"/>
      <c r="Y320" s="183"/>
      <c r="Z320" s="183"/>
    </row>
    <row r="321" spans="1:26" ht="15" customHeight="1" x14ac:dyDescent="0.25">
      <c r="A321" s="183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183"/>
      <c r="O321" s="183"/>
      <c r="P321" s="183"/>
      <c r="Q321" s="183"/>
      <c r="R321" s="183"/>
      <c r="S321" s="183"/>
      <c r="T321" s="183"/>
      <c r="U321" s="183"/>
      <c r="V321" s="183"/>
      <c r="W321" s="183"/>
      <c r="X321" s="183"/>
      <c r="Y321" s="183"/>
      <c r="Z321" s="183"/>
    </row>
    <row r="322" spans="1:26" ht="15" customHeight="1" x14ac:dyDescent="0.25">
      <c r="A322" s="183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183"/>
      <c r="O322" s="183"/>
      <c r="P322" s="183"/>
      <c r="Q322" s="183"/>
      <c r="R322" s="183"/>
      <c r="S322" s="183"/>
      <c r="T322" s="183"/>
      <c r="U322" s="183"/>
      <c r="V322" s="183"/>
      <c r="W322" s="183"/>
      <c r="X322" s="183"/>
      <c r="Y322" s="183"/>
      <c r="Z322" s="183"/>
    </row>
    <row r="323" spans="1:26" ht="15" customHeight="1" x14ac:dyDescent="0.25">
      <c r="A323" s="183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183"/>
      <c r="O323" s="183"/>
      <c r="P323" s="183"/>
      <c r="Q323" s="183"/>
      <c r="R323" s="183"/>
      <c r="S323" s="183"/>
      <c r="T323" s="183"/>
      <c r="U323" s="183"/>
      <c r="V323" s="183"/>
      <c r="W323" s="183"/>
      <c r="X323" s="183"/>
      <c r="Y323" s="183"/>
      <c r="Z323" s="183"/>
    </row>
    <row r="324" spans="1:26" ht="15" customHeight="1" x14ac:dyDescent="0.25">
      <c r="A324" s="183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183"/>
      <c r="O324" s="183"/>
      <c r="P324" s="183"/>
      <c r="Q324" s="183"/>
      <c r="R324" s="183"/>
      <c r="S324" s="183"/>
      <c r="T324" s="183"/>
      <c r="U324" s="183"/>
      <c r="V324" s="183"/>
      <c r="W324" s="183"/>
      <c r="X324" s="183"/>
      <c r="Y324" s="183"/>
      <c r="Z324" s="183"/>
    </row>
    <row r="325" spans="1:26" ht="15" customHeight="1" x14ac:dyDescent="0.25">
      <c r="A325" s="183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183"/>
      <c r="O325" s="183"/>
      <c r="P325" s="183"/>
      <c r="Q325" s="183"/>
      <c r="R325" s="183"/>
      <c r="S325" s="183"/>
      <c r="T325" s="183"/>
      <c r="U325" s="183"/>
      <c r="V325" s="183"/>
      <c r="W325" s="183"/>
      <c r="X325" s="183"/>
      <c r="Y325" s="183"/>
      <c r="Z325" s="183"/>
    </row>
    <row r="326" spans="1:26" ht="15" customHeight="1" x14ac:dyDescent="0.25">
      <c r="A326" s="183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183"/>
      <c r="O326" s="183"/>
      <c r="P326" s="183"/>
      <c r="Q326" s="183"/>
      <c r="R326" s="183"/>
      <c r="S326" s="183"/>
      <c r="T326" s="183"/>
      <c r="U326" s="183"/>
      <c r="V326" s="183"/>
      <c r="W326" s="183"/>
      <c r="X326" s="183"/>
      <c r="Y326" s="183"/>
      <c r="Z326" s="183"/>
    </row>
    <row r="327" spans="1:26" ht="15" customHeight="1" x14ac:dyDescent="0.25">
      <c r="A327" s="183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183"/>
      <c r="O327" s="183"/>
      <c r="P327" s="183"/>
      <c r="Q327" s="183"/>
      <c r="R327" s="183"/>
      <c r="S327" s="183"/>
      <c r="T327" s="183"/>
      <c r="U327" s="183"/>
      <c r="V327" s="183"/>
      <c r="W327" s="183"/>
      <c r="X327" s="183"/>
      <c r="Y327" s="183"/>
      <c r="Z327" s="183"/>
    </row>
    <row r="328" spans="1:26" ht="15" customHeight="1" x14ac:dyDescent="0.25">
      <c r="A328" s="183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83"/>
      <c r="O328" s="183"/>
      <c r="P328" s="183"/>
      <c r="Q328" s="183"/>
      <c r="R328" s="183"/>
      <c r="S328" s="183"/>
      <c r="T328" s="183"/>
      <c r="U328" s="183"/>
      <c r="V328" s="183"/>
      <c r="W328" s="183"/>
      <c r="X328" s="183"/>
      <c r="Y328" s="183"/>
      <c r="Z328" s="183"/>
    </row>
    <row r="329" spans="1:26" ht="15" customHeight="1" x14ac:dyDescent="0.25">
      <c r="A329" s="183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83"/>
      <c r="O329" s="183"/>
      <c r="P329" s="183"/>
      <c r="Q329" s="183"/>
      <c r="R329" s="183"/>
      <c r="S329" s="183"/>
      <c r="T329" s="183"/>
      <c r="U329" s="183"/>
      <c r="V329" s="183"/>
      <c r="W329" s="183"/>
      <c r="X329" s="183"/>
      <c r="Y329" s="183"/>
      <c r="Z329" s="183"/>
    </row>
    <row r="330" spans="1:26" ht="15" customHeight="1" x14ac:dyDescent="0.25">
      <c r="A330" s="183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83"/>
      <c r="O330" s="183"/>
      <c r="P330" s="183"/>
      <c r="Q330" s="183"/>
      <c r="R330" s="183"/>
      <c r="S330" s="183"/>
      <c r="T330" s="183"/>
      <c r="U330" s="183"/>
      <c r="V330" s="183"/>
      <c r="W330" s="183"/>
      <c r="X330" s="183"/>
      <c r="Y330" s="183"/>
      <c r="Z330" s="183"/>
    </row>
    <row r="331" spans="1:26" ht="15" customHeight="1" x14ac:dyDescent="0.25">
      <c r="A331" s="183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183"/>
      <c r="O331" s="183"/>
      <c r="P331" s="183"/>
      <c r="Q331" s="183"/>
      <c r="R331" s="183"/>
      <c r="S331" s="183"/>
      <c r="T331" s="183"/>
      <c r="U331" s="183"/>
      <c r="V331" s="183"/>
      <c r="W331" s="183"/>
      <c r="X331" s="183"/>
      <c r="Y331" s="183"/>
      <c r="Z331" s="183"/>
    </row>
    <row r="332" spans="1:26" ht="15" customHeight="1" x14ac:dyDescent="0.25">
      <c r="A332" s="183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183"/>
      <c r="O332" s="183"/>
      <c r="P332" s="183"/>
      <c r="Q332" s="183"/>
      <c r="R332" s="183"/>
      <c r="S332" s="183"/>
      <c r="T332" s="183"/>
      <c r="U332" s="183"/>
      <c r="V332" s="183"/>
      <c r="W332" s="183"/>
      <c r="X332" s="183"/>
      <c r="Y332" s="183"/>
      <c r="Z332" s="183"/>
    </row>
    <row r="333" spans="1:26" ht="15" customHeight="1" x14ac:dyDescent="0.25">
      <c r="A333" s="183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83"/>
      <c r="O333" s="183"/>
      <c r="P333" s="183"/>
      <c r="Q333" s="183"/>
      <c r="R333" s="183"/>
      <c r="S333" s="183"/>
      <c r="T333" s="183"/>
      <c r="U333" s="183"/>
      <c r="V333" s="183"/>
      <c r="W333" s="183"/>
      <c r="X333" s="183"/>
      <c r="Y333" s="183"/>
      <c r="Z333" s="183"/>
    </row>
    <row r="334" spans="1:26" ht="15" customHeight="1" x14ac:dyDescent="0.25">
      <c r="A334" s="183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183"/>
      <c r="O334" s="183"/>
      <c r="P334" s="183"/>
      <c r="Q334" s="183"/>
      <c r="R334" s="183"/>
      <c r="S334" s="183"/>
      <c r="T334" s="183"/>
      <c r="U334" s="183"/>
      <c r="V334" s="183"/>
      <c r="W334" s="183"/>
      <c r="X334" s="183"/>
      <c r="Y334" s="183"/>
      <c r="Z334" s="183"/>
    </row>
    <row r="335" spans="1:26" ht="15" customHeight="1" x14ac:dyDescent="0.25">
      <c r="A335" s="183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83"/>
      <c r="O335" s="183"/>
      <c r="P335" s="183"/>
      <c r="Q335" s="183"/>
      <c r="R335" s="183"/>
      <c r="S335" s="183"/>
      <c r="T335" s="183"/>
      <c r="U335" s="183"/>
      <c r="V335" s="183"/>
      <c r="W335" s="183"/>
      <c r="X335" s="183"/>
      <c r="Y335" s="183"/>
      <c r="Z335" s="183"/>
    </row>
    <row r="336" spans="1:26" ht="15" customHeight="1" x14ac:dyDescent="0.25">
      <c r="A336" s="183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83"/>
      <c r="O336" s="183"/>
      <c r="P336" s="183"/>
      <c r="Q336" s="183"/>
      <c r="R336" s="183"/>
      <c r="S336" s="183"/>
      <c r="T336" s="183"/>
      <c r="U336" s="183"/>
      <c r="V336" s="183"/>
      <c r="W336" s="183"/>
      <c r="X336" s="183"/>
      <c r="Y336" s="183"/>
      <c r="Z336" s="183"/>
    </row>
    <row r="337" spans="1:26" ht="15" customHeight="1" x14ac:dyDescent="0.25">
      <c r="A337" s="183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83"/>
      <c r="O337" s="183"/>
      <c r="P337" s="183"/>
      <c r="Q337" s="183"/>
      <c r="R337" s="183"/>
      <c r="S337" s="183"/>
      <c r="T337" s="183"/>
      <c r="U337" s="183"/>
      <c r="V337" s="183"/>
      <c r="W337" s="183"/>
      <c r="X337" s="183"/>
      <c r="Y337" s="183"/>
      <c r="Z337" s="183"/>
    </row>
    <row r="338" spans="1:26" ht="15" customHeight="1" x14ac:dyDescent="0.25">
      <c r="A338" s="183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183"/>
      <c r="O338" s="183"/>
      <c r="P338" s="183"/>
      <c r="Q338" s="183"/>
      <c r="R338" s="183"/>
      <c r="S338" s="183"/>
      <c r="T338" s="183"/>
      <c r="U338" s="183"/>
      <c r="V338" s="183"/>
      <c r="W338" s="183"/>
      <c r="X338" s="183"/>
      <c r="Y338" s="183"/>
      <c r="Z338" s="183"/>
    </row>
    <row r="339" spans="1:26" ht="15" customHeight="1" x14ac:dyDescent="0.25">
      <c r="A339" s="183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183"/>
      <c r="O339" s="183"/>
      <c r="P339" s="183"/>
      <c r="Q339" s="183"/>
      <c r="R339" s="183"/>
      <c r="S339" s="183"/>
      <c r="T339" s="183"/>
      <c r="U339" s="183"/>
      <c r="V339" s="183"/>
      <c r="W339" s="183"/>
      <c r="X339" s="183"/>
      <c r="Y339" s="183"/>
      <c r="Z339" s="183"/>
    </row>
    <row r="340" spans="1:26" ht="15" customHeight="1" x14ac:dyDescent="0.25">
      <c r="A340" s="183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183"/>
      <c r="O340" s="183"/>
      <c r="P340" s="183"/>
      <c r="Q340" s="183"/>
      <c r="R340" s="183"/>
      <c r="S340" s="183"/>
      <c r="T340" s="183"/>
      <c r="U340" s="183"/>
      <c r="V340" s="183"/>
      <c r="W340" s="183"/>
      <c r="X340" s="183"/>
      <c r="Y340" s="183"/>
      <c r="Z340" s="183"/>
    </row>
    <row r="341" spans="1:26" ht="15" customHeight="1" x14ac:dyDescent="0.25">
      <c r="A341" s="183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183"/>
      <c r="O341" s="183"/>
      <c r="P341" s="183"/>
      <c r="Q341" s="183"/>
      <c r="R341" s="183"/>
      <c r="S341" s="183"/>
      <c r="T341" s="183"/>
      <c r="U341" s="183"/>
      <c r="V341" s="183"/>
      <c r="W341" s="183"/>
      <c r="X341" s="183"/>
      <c r="Y341" s="183"/>
      <c r="Z341" s="183"/>
    </row>
    <row r="342" spans="1:26" ht="15" customHeight="1" x14ac:dyDescent="0.25">
      <c r="A342" s="183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183"/>
      <c r="O342" s="183"/>
      <c r="P342" s="183"/>
      <c r="Q342" s="183"/>
      <c r="R342" s="183"/>
      <c r="S342" s="183"/>
      <c r="T342" s="183"/>
      <c r="U342" s="183"/>
      <c r="V342" s="183"/>
      <c r="W342" s="183"/>
      <c r="X342" s="183"/>
      <c r="Y342" s="183"/>
      <c r="Z342" s="183"/>
    </row>
    <row r="343" spans="1:26" ht="15" customHeight="1" x14ac:dyDescent="0.25">
      <c r="A343" s="183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183"/>
      <c r="O343" s="183"/>
      <c r="P343" s="183"/>
      <c r="Q343" s="183"/>
      <c r="R343" s="183"/>
      <c r="S343" s="183"/>
      <c r="T343" s="183"/>
      <c r="U343" s="183"/>
      <c r="V343" s="183"/>
      <c r="W343" s="183"/>
      <c r="X343" s="183"/>
      <c r="Y343" s="183"/>
      <c r="Z343" s="183"/>
    </row>
    <row r="344" spans="1:26" ht="15" customHeight="1" x14ac:dyDescent="0.25">
      <c r="A344" s="183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183"/>
      <c r="O344" s="183"/>
      <c r="P344" s="183"/>
      <c r="Q344" s="183"/>
      <c r="R344" s="183"/>
      <c r="S344" s="183"/>
      <c r="T344" s="183"/>
      <c r="U344" s="183"/>
      <c r="V344" s="183"/>
      <c r="W344" s="183"/>
      <c r="X344" s="183"/>
      <c r="Y344" s="183"/>
      <c r="Z344" s="183"/>
    </row>
    <row r="345" spans="1:26" ht="15" customHeight="1" x14ac:dyDescent="0.25">
      <c r="A345" s="183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183"/>
      <c r="O345" s="183"/>
      <c r="P345" s="183"/>
      <c r="Q345" s="183"/>
      <c r="R345" s="183"/>
      <c r="S345" s="183"/>
      <c r="T345" s="183"/>
      <c r="U345" s="183"/>
      <c r="V345" s="183"/>
      <c r="W345" s="183"/>
      <c r="X345" s="183"/>
      <c r="Y345" s="183"/>
      <c r="Z345" s="183"/>
    </row>
    <row r="346" spans="1:26" ht="15" customHeight="1" x14ac:dyDescent="0.25">
      <c r="A346" s="183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183"/>
      <c r="O346" s="183"/>
      <c r="P346" s="183"/>
      <c r="Q346" s="183"/>
      <c r="R346" s="183"/>
      <c r="S346" s="183"/>
      <c r="T346" s="183"/>
      <c r="U346" s="183"/>
      <c r="V346" s="183"/>
      <c r="W346" s="183"/>
      <c r="X346" s="183"/>
      <c r="Y346" s="183"/>
      <c r="Z346" s="183"/>
    </row>
    <row r="347" spans="1:26" ht="15" customHeight="1" x14ac:dyDescent="0.25">
      <c r="A347" s="183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183"/>
      <c r="O347" s="183"/>
      <c r="P347" s="183"/>
      <c r="Q347" s="183"/>
      <c r="R347" s="183"/>
      <c r="S347" s="183"/>
      <c r="T347" s="183"/>
      <c r="U347" s="183"/>
      <c r="V347" s="183"/>
      <c r="W347" s="183"/>
      <c r="X347" s="183"/>
      <c r="Y347" s="183"/>
      <c r="Z347" s="183"/>
    </row>
    <row r="348" spans="1:26" ht="15" customHeight="1" x14ac:dyDescent="0.25">
      <c r="A348" s="183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183"/>
      <c r="O348" s="183"/>
      <c r="P348" s="183"/>
      <c r="Q348" s="183"/>
      <c r="R348" s="183"/>
      <c r="S348" s="183"/>
      <c r="T348" s="183"/>
      <c r="U348" s="183"/>
      <c r="V348" s="183"/>
      <c r="W348" s="183"/>
      <c r="X348" s="183"/>
      <c r="Y348" s="183"/>
      <c r="Z348" s="183"/>
    </row>
    <row r="349" spans="1:26" ht="15" customHeight="1" x14ac:dyDescent="0.25">
      <c r="A349" s="183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183"/>
      <c r="O349" s="183"/>
      <c r="P349" s="183"/>
      <c r="Q349" s="183"/>
      <c r="R349" s="183"/>
      <c r="S349" s="183"/>
      <c r="T349" s="183"/>
      <c r="U349" s="183"/>
      <c r="V349" s="183"/>
      <c r="W349" s="183"/>
      <c r="X349" s="183"/>
      <c r="Y349" s="183"/>
      <c r="Z349" s="183"/>
    </row>
    <row r="350" spans="1:26" ht="15" customHeight="1" x14ac:dyDescent="0.25">
      <c r="A350" s="183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183"/>
      <c r="O350" s="183"/>
      <c r="P350" s="183"/>
      <c r="Q350" s="183"/>
      <c r="R350" s="183"/>
      <c r="S350" s="183"/>
      <c r="T350" s="183"/>
      <c r="U350" s="183"/>
      <c r="V350" s="183"/>
      <c r="W350" s="183"/>
      <c r="X350" s="183"/>
      <c r="Y350" s="183"/>
      <c r="Z350" s="183"/>
    </row>
    <row r="351" spans="1:26" ht="15" customHeight="1" x14ac:dyDescent="0.25">
      <c r="A351" s="183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183"/>
      <c r="O351" s="183"/>
      <c r="P351" s="183"/>
      <c r="Q351" s="183"/>
      <c r="R351" s="183"/>
      <c r="S351" s="183"/>
      <c r="T351" s="183"/>
      <c r="U351" s="183"/>
      <c r="V351" s="183"/>
      <c r="W351" s="183"/>
      <c r="X351" s="183"/>
      <c r="Y351" s="183"/>
      <c r="Z351" s="183"/>
    </row>
    <row r="352" spans="1:26" ht="15" customHeight="1" x14ac:dyDescent="0.25">
      <c r="A352" s="183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83"/>
      <c r="O352" s="183"/>
      <c r="P352" s="183"/>
      <c r="Q352" s="183"/>
      <c r="R352" s="183"/>
      <c r="S352" s="183"/>
      <c r="T352" s="183"/>
      <c r="U352" s="183"/>
      <c r="V352" s="183"/>
      <c r="W352" s="183"/>
      <c r="X352" s="183"/>
      <c r="Y352" s="183"/>
      <c r="Z352" s="183"/>
    </row>
    <row r="353" spans="1:26" ht="15" customHeight="1" x14ac:dyDescent="0.25">
      <c r="A353" s="183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83"/>
      <c r="O353" s="183"/>
      <c r="P353" s="183"/>
      <c r="Q353" s="183"/>
      <c r="R353" s="183"/>
      <c r="S353" s="183"/>
      <c r="T353" s="183"/>
      <c r="U353" s="183"/>
      <c r="V353" s="183"/>
      <c r="W353" s="183"/>
      <c r="X353" s="183"/>
      <c r="Y353" s="183"/>
      <c r="Z353" s="183"/>
    </row>
    <row r="354" spans="1:26" ht="15" customHeight="1" x14ac:dyDescent="0.25">
      <c r="A354" s="183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83"/>
      <c r="O354" s="183"/>
      <c r="P354" s="183"/>
      <c r="Q354" s="183"/>
      <c r="R354" s="183"/>
      <c r="S354" s="183"/>
      <c r="T354" s="183"/>
      <c r="U354" s="183"/>
      <c r="V354" s="183"/>
      <c r="W354" s="183"/>
      <c r="X354" s="183"/>
      <c r="Y354" s="183"/>
      <c r="Z354" s="183"/>
    </row>
    <row r="355" spans="1:26" ht="15" customHeight="1" x14ac:dyDescent="0.25">
      <c r="A355" s="183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  <c r="U355" s="183"/>
      <c r="V355" s="183"/>
      <c r="W355" s="183"/>
      <c r="X355" s="183"/>
      <c r="Y355" s="183"/>
      <c r="Z355" s="183"/>
    </row>
    <row r="356" spans="1:26" ht="15" customHeight="1" x14ac:dyDescent="0.25">
      <c r="A356" s="183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3"/>
      <c r="T356" s="183"/>
      <c r="U356" s="183"/>
      <c r="V356" s="183"/>
      <c r="W356" s="183"/>
      <c r="X356" s="183"/>
      <c r="Y356" s="183"/>
      <c r="Z356" s="183"/>
    </row>
    <row r="357" spans="1:26" ht="15" customHeight="1" x14ac:dyDescent="0.25">
      <c r="A357" s="183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183"/>
      <c r="O357" s="183"/>
      <c r="P357" s="183"/>
      <c r="Q357" s="183"/>
      <c r="R357" s="183"/>
      <c r="S357" s="183"/>
      <c r="T357" s="183"/>
      <c r="U357" s="183"/>
      <c r="V357" s="183"/>
      <c r="W357" s="183"/>
      <c r="X357" s="183"/>
      <c r="Y357" s="183"/>
      <c r="Z357" s="183"/>
    </row>
    <row r="358" spans="1:26" ht="15" customHeight="1" x14ac:dyDescent="0.25">
      <c r="A358" s="183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83"/>
      <c r="O358" s="183"/>
      <c r="P358" s="183"/>
      <c r="Q358" s="183"/>
      <c r="R358" s="183"/>
      <c r="S358" s="183"/>
      <c r="T358" s="183"/>
      <c r="U358" s="183"/>
      <c r="V358" s="183"/>
      <c r="W358" s="183"/>
      <c r="X358" s="183"/>
      <c r="Y358" s="183"/>
      <c r="Z358" s="183"/>
    </row>
    <row r="359" spans="1:26" ht="15" customHeight="1" x14ac:dyDescent="0.25">
      <c r="A359" s="183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83"/>
      <c r="O359" s="183"/>
      <c r="P359" s="183"/>
      <c r="Q359" s="183"/>
      <c r="R359" s="183"/>
      <c r="S359" s="183"/>
      <c r="T359" s="183"/>
      <c r="U359" s="183"/>
      <c r="V359" s="183"/>
      <c r="W359" s="183"/>
      <c r="X359" s="183"/>
      <c r="Y359" s="183"/>
      <c r="Z359" s="183"/>
    </row>
    <row r="360" spans="1:26" ht="15" customHeight="1" x14ac:dyDescent="0.25">
      <c r="A360" s="183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183"/>
      <c r="O360" s="183"/>
      <c r="P360" s="183"/>
      <c r="Q360" s="183"/>
      <c r="R360" s="183"/>
      <c r="S360" s="183"/>
      <c r="T360" s="183"/>
      <c r="U360" s="183"/>
      <c r="V360" s="183"/>
      <c r="W360" s="183"/>
      <c r="X360" s="183"/>
      <c r="Y360" s="183"/>
      <c r="Z360" s="183"/>
    </row>
    <row r="361" spans="1:26" ht="15" customHeight="1" x14ac:dyDescent="0.25">
      <c r="A361" s="183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83"/>
      <c r="O361" s="183"/>
      <c r="P361" s="183"/>
      <c r="Q361" s="183"/>
      <c r="R361" s="183"/>
      <c r="S361" s="183"/>
      <c r="T361" s="183"/>
      <c r="U361" s="183"/>
      <c r="V361" s="183"/>
      <c r="W361" s="183"/>
      <c r="X361" s="183"/>
      <c r="Y361" s="183"/>
      <c r="Z361" s="183"/>
    </row>
    <row r="362" spans="1:26" ht="15" customHeight="1" x14ac:dyDescent="0.25">
      <c r="A362" s="183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83"/>
      <c r="O362" s="183"/>
      <c r="P362" s="183"/>
      <c r="Q362" s="183"/>
      <c r="R362" s="183"/>
      <c r="S362" s="183"/>
      <c r="T362" s="183"/>
      <c r="U362" s="183"/>
      <c r="V362" s="183"/>
      <c r="W362" s="183"/>
      <c r="X362" s="183"/>
      <c r="Y362" s="183"/>
      <c r="Z362" s="183"/>
    </row>
    <row r="363" spans="1:26" ht="15" customHeight="1" x14ac:dyDescent="0.25">
      <c r="A363" s="183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83"/>
      <c r="O363" s="183"/>
      <c r="P363" s="183"/>
      <c r="Q363" s="183"/>
      <c r="R363" s="183"/>
      <c r="S363" s="183"/>
      <c r="T363" s="183"/>
      <c r="U363" s="183"/>
      <c r="V363" s="183"/>
      <c r="W363" s="183"/>
      <c r="X363" s="183"/>
      <c r="Y363" s="183"/>
      <c r="Z363" s="183"/>
    </row>
    <row r="364" spans="1:26" ht="15" customHeight="1" x14ac:dyDescent="0.25">
      <c r="A364" s="183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183"/>
      <c r="O364" s="183"/>
      <c r="P364" s="183"/>
      <c r="Q364" s="183"/>
      <c r="R364" s="183"/>
      <c r="S364" s="183"/>
      <c r="T364" s="183"/>
      <c r="U364" s="183"/>
      <c r="V364" s="183"/>
      <c r="W364" s="183"/>
      <c r="X364" s="183"/>
      <c r="Y364" s="183"/>
      <c r="Z364" s="183"/>
    </row>
    <row r="365" spans="1:26" ht="15" customHeight="1" x14ac:dyDescent="0.25">
      <c r="A365" s="183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83"/>
      <c r="O365" s="183"/>
      <c r="P365" s="183"/>
      <c r="Q365" s="183"/>
      <c r="R365" s="183"/>
      <c r="S365" s="183"/>
      <c r="T365" s="183"/>
      <c r="U365" s="183"/>
      <c r="V365" s="183"/>
      <c r="W365" s="183"/>
      <c r="X365" s="183"/>
      <c r="Y365" s="183"/>
      <c r="Z365" s="183"/>
    </row>
    <row r="366" spans="1:26" ht="15" customHeight="1" x14ac:dyDescent="0.25">
      <c r="A366" s="183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183"/>
      <c r="O366" s="183"/>
      <c r="P366" s="183"/>
      <c r="Q366" s="183"/>
      <c r="R366" s="183"/>
      <c r="S366" s="183"/>
      <c r="T366" s="183"/>
      <c r="U366" s="183"/>
      <c r="V366" s="183"/>
      <c r="W366" s="183"/>
      <c r="X366" s="183"/>
      <c r="Y366" s="183"/>
      <c r="Z366" s="183"/>
    </row>
    <row r="367" spans="1:26" ht="15" customHeight="1" x14ac:dyDescent="0.25">
      <c r="A367" s="183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83"/>
      <c r="O367" s="183"/>
      <c r="P367" s="183"/>
      <c r="Q367" s="183"/>
      <c r="R367" s="183"/>
      <c r="S367" s="183"/>
      <c r="T367" s="183"/>
      <c r="U367" s="183"/>
      <c r="V367" s="183"/>
      <c r="W367" s="183"/>
      <c r="X367" s="183"/>
      <c r="Y367" s="183"/>
      <c r="Z367" s="183"/>
    </row>
    <row r="368" spans="1:26" ht="15" customHeight="1" x14ac:dyDescent="0.25">
      <c r="A368" s="183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183"/>
      <c r="O368" s="183"/>
      <c r="P368" s="183"/>
      <c r="Q368" s="183"/>
      <c r="R368" s="183"/>
      <c r="S368" s="183"/>
      <c r="T368" s="183"/>
      <c r="U368" s="183"/>
      <c r="V368" s="183"/>
      <c r="W368" s="183"/>
      <c r="X368" s="183"/>
      <c r="Y368" s="183"/>
      <c r="Z368" s="183"/>
    </row>
    <row r="369" spans="1:26" ht="15" customHeight="1" x14ac:dyDescent="0.25">
      <c r="A369" s="18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183"/>
      <c r="O369" s="183"/>
      <c r="P369" s="183"/>
      <c r="Q369" s="183"/>
      <c r="R369" s="183"/>
      <c r="S369" s="183"/>
      <c r="T369" s="183"/>
      <c r="U369" s="183"/>
      <c r="V369" s="183"/>
      <c r="W369" s="183"/>
      <c r="X369" s="183"/>
      <c r="Y369" s="183"/>
      <c r="Z369" s="183"/>
    </row>
    <row r="370" spans="1:26" ht="15" customHeight="1" x14ac:dyDescent="0.25">
      <c r="A370" s="18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183"/>
      <c r="O370" s="183"/>
      <c r="P370" s="183"/>
      <c r="Q370" s="183"/>
      <c r="R370" s="183"/>
      <c r="S370" s="183"/>
      <c r="T370" s="183"/>
      <c r="U370" s="183"/>
      <c r="V370" s="183"/>
      <c r="W370" s="183"/>
      <c r="X370" s="183"/>
      <c r="Y370" s="183"/>
      <c r="Z370" s="183"/>
    </row>
    <row r="371" spans="1:26" ht="15" customHeight="1" x14ac:dyDescent="0.25">
      <c r="A371" s="183"/>
      <c r="B371" s="183"/>
      <c r="C371" s="183"/>
      <c r="D371" s="183"/>
      <c r="E371" s="183"/>
      <c r="F371" s="183"/>
      <c r="G371" s="183"/>
      <c r="H371" s="183"/>
      <c r="I371" s="183"/>
      <c r="J371" s="183"/>
      <c r="K371" s="183"/>
      <c r="L371" s="183"/>
      <c r="M371" s="183"/>
      <c r="N371" s="183"/>
      <c r="O371" s="183"/>
      <c r="P371" s="183"/>
      <c r="Q371" s="183"/>
      <c r="R371" s="183"/>
      <c r="S371" s="183"/>
      <c r="T371" s="183"/>
      <c r="U371" s="183"/>
      <c r="V371" s="183"/>
      <c r="W371" s="183"/>
      <c r="X371" s="183"/>
      <c r="Y371" s="183"/>
      <c r="Z371" s="183"/>
    </row>
    <row r="372" spans="1:26" ht="15" customHeight="1" x14ac:dyDescent="0.25">
      <c r="A372" s="183"/>
      <c r="B372" s="183"/>
      <c r="C372" s="183"/>
      <c r="D372" s="183"/>
      <c r="E372" s="183"/>
      <c r="F372" s="183"/>
      <c r="G372" s="183"/>
      <c r="H372" s="183"/>
      <c r="I372" s="183"/>
      <c r="J372" s="183"/>
      <c r="K372" s="183"/>
      <c r="L372" s="183"/>
      <c r="M372" s="183"/>
      <c r="N372" s="183"/>
      <c r="O372" s="183"/>
      <c r="P372" s="183"/>
      <c r="Q372" s="183"/>
      <c r="R372" s="183"/>
      <c r="S372" s="183"/>
      <c r="T372" s="183"/>
      <c r="U372" s="183"/>
      <c r="V372" s="183"/>
      <c r="W372" s="183"/>
      <c r="X372" s="183"/>
      <c r="Y372" s="183"/>
      <c r="Z372" s="183"/>
    </row>
    <row r="373" spans="1:26" ht="15" customHeight="1" x14ac:dyDescent="0.25">
      <c r="A373" s="183"/>
      <c r="B373" s="183"/>
      <c r="C373" s="183"/>
      <c r="D373" s="183"/>
      <c r="E373" s="183"/>
      <c r="F373" s="183"/>
      <c r="G373" s="183"/>
      <c r="H373" s="183"/>
      <c r="I373" s="183"/>
      <c r="J373" s="183"/>
      <c r="K373" s="183"/>
      <c r="L373" s="183"/>
      <c r="M373" s="183"/>
      <c r="N373" s="183"/>
      <c r="O373" s="183"/>
      <c r="P373" s="183"/>
      <c r="Q373" s="183"/>
      <c r="R373" s="183"/>
      <c r="S373" s="183"/>
      <c r="T373" s="183"/>
      <c r="U373" s="183"/>
      <c r="V373" s="183"/>
      <c r="W373" s="183"/>
      <c r="X373" s="183"/>
      <c r="Y373" s="183"/>
      <c r="Z373" s="183"/>
    </row>
    <row r="374" spans="1:26" ht="15" customHeight="1" x14ac:dyDescent="0.25">
      <c r="A374" s="183"/>
      <c r="B374" s="183"/>
      <c r="C374" s="183"/>
      <c r="D374" s="183"/>
      <c r="E374" s="183"/>
      <c r="F374" s="183"/>
      <c r="G374" s="183"/>
      <c r="H374" s="183"/>
      <c r="I374" s="183"/>
      <c r="J374" s="183"/>
      <c r="K374" s="183"/>
      <c r="L374" s="183"/>
      <c r="M374" s="183"/>
      <c r="N374" s="183"/>
      <c r="O374" s="183"/>
      <c r="P374" s="183"/>
      <c r="Q374" s="183"/>
      <c r="R374" s="183"/>
      <c r="S374" s="183"/>
      <c r="T374" s="183"/>
      <c r="U374" s="183"/>
      <c r="V374" s="183"/>
      <c r="W374" s="183"/>
      <c r="X374" s="183"/>
      <c r="Y374" s="183"/>
      <c r="Z374" s="183"/>
    </row>
    <row r="375" spans="1:26" ht="15" customHeight="1" x14ac:dyDescent="0.25">
      <c r="A375" s="183"/>
      <c r="B375" s="183"/>
      <c r="C375" s="183"/>
      <c r="D375" s="183"/>
      <c r="E375" s="183"/>
      <c r="F375" s="183"/>
      <c r="G375" s="183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83"/>
      <c r="W375" s="183"/>
      <c r="X375" s="183"/>
      <c r="Y375" s="183"/>
      <c r="Z375" s="183"/>
    </row>
    <row r="376" spans="1:26" ht="15" customHeight="1" x14ac:dyDescent="0.25">
      <c r="A376" s="183"/>
      <c r="B376" s="183"/>
      <c r="C376" s="183"/>
      <c r="D376" s="183"/>
      <c r="E376" s="183"/>
      <c r="F376" s="183"/>
      <c r="G376" s="183"/>
      <c r="H376" s="183"/>
      <c r="I376" s="183"/>
      <c r="J376" s="183"/>
      <c r="K376" s="183"/>
      <c r="L376" s="183"/>
      <c r="M376" s="183"/>
      <c r="N376" s="183"/>
      <c r="O376" s="183"/>
      <c r="P376" s="183"/>
      <c r="Q376" s="183"/>
      <c r="R376" s="183"/>
      <c r="S376" s="183"/>
      <c r="T376" s="183"/>
      <c r="U376" s="183"/>
      <c r="V376" s="183"/>
      <c r="W376" s="183"/>
      <c r="X376" s="183"/>
      <c r="Y376" s="183"/>
      <c r="Z376" s="183"/>
    </row>
    <row r="377" spans="1:26" ht="15" customHeight="1" x14ac:dyDescent="0.25">
      <c r="A377" s="183"/>
      <c r="B377" s="183"/>
      <c r="C377" s="183"/>
      <c r="D377" s="183"/>
      <c r="E377" s="183"/>
      <c r="F377" s="183"/>
      <c r="G377" s="183"/>
      <c r="H377" s="183"/>
      <c r="I377" s="183"/>
      <c r="J377" s="183"/>
      <c r="K377" s="183"/>
      <c r="L377" s="183"/>
      <c r="M377" s="183"/>
      <c r="N377" s="183"/>
      <c r="O377" s="183"/>
      <c r="P377" s="183"/>
      <c r="Q377" s="183"/>
      <c r="R377" s="183"/>
      <c r="S377" s="183"/>
      <c r="T377" s="183"/>
      <c r="U377" s="183"/>
      <c r="V377" s="183"/>
      <c r="W377" s="183"/>
      <c r="X377" s="183"/>
      <c r="Y377" s="183"/>
      <c r="Z377" s="183"/>
    </row>
    <row r="378" spans="1:26" ht="15" customHeight="1" x14ac:dyDescent="0.25">
      <c r="A378" s="183"/>
      <c r="B378" s="183"/>
      <c r="C378" s="183"/>
      <c r="D378" s="183"/>
      <c r="E378" s="183"/>
      <c r="F378" s="183"/>
      <c r="G378" s="183"/>
      <c r="H378" s="183"/>
      <c r="I378" s="183"/>
      <c r="J378" s="183"/>
      <c r="K378" s="183"/>
      <c r="L378" s="183"/>
      <c r="M378" s="183"/>
      <c r="N378" s="183"/>
      <c r="O378" s="183"/>
      <c r="P378" s="183"/>
      <c r="Q378" s="183"/>
      <c r="R378" s="183"/>
      <c r="S378" s="183"/>
      <c r="T378" s="183"/>
      <c r="U378" s="183"/>
      <c r="V378" s="183"/>
      <c r="W378" s="183"/>
      <c r="X378" s="183"/>
      <c r="Y378" s="183"/>
      <c r="Z378" s="183"/>
    </row>
    <row r="379" spans="1:26" ht="15" customHeight="1" x14ac:dyDescent="0.25">
      <c r="A379" s="183"/>
      <c r="B379" s="183"/>
      <c r="C379" s="183"/>
      <c r="D379" s="183"/>
      <c r="E379" s="183"/>
      <c r="F379" s="183"/>
      <c r="G379" s="183"/>
      <c r="H379" s="183"/>
      <c r="I379" s="183"/>
      <c r="J379" s="183"/>
      <c r="K379" s="183"/>
      <c r="L379" s="183"/>
      <c r="M379" s="183"/>
      <c r="N379" s="183"/>
      <c r="O379" s="183"/>
      <c r="P379" s="183"/>
      <c r="Q379" s="183"/>
      <c r="R379" s="183"/>
      <c r="S379" s="183"/>
      <c r="T379" s="183"/>
      <c r="U379" s="183"/>
      <c r="V379" s="183"/>
      <c r="W379" s="183"/>
      <c r="X379" s="183"/>
      <c r="Y379" s="183"/>
      <c r="Z379" s="183"/>
    </row>
    <row r="380" spans="1:26" ht="15" customHeight="1" x14ac:dyDescent="0.25">
      <c r="A380" s="183"/>
      <c r="B380" s="183"/>
      <c r="C380" s="183"/>
      <c r="D380" s="183"/>
      <c r="E380" s="183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  <c r="U380" s="183"/>
      <c r="V380" s="183"/>
      <c r="W380" s="183"/>
      <c r="X380" s="183"/>
      <c r="Y380" s="183"/>
      <c r="Z380" s="183"/>
    </row>
    <row r="381" spans="1:26" ht="15" customHeight="1" x14ac:dyDescent="0.25">
      <c r="A381" s="183"/>
      <c r="B381" s="183"/>
      <c r="C381" s="183"/>
      <c r="D381" s="183"/>
      <c r="E381" s="183"/>
      <c r="F381" s="183"/>
      <c r="G381" s="183"/>
      <c r="H381" s="183"/>
      <c r="I381" s="183"/>
      <c r="J381" s="183"/>
      <c r="K381" s="183"/>
      <c r="L381" s="183"/>
      <c r="M381" s="183"/>
      <c r="N381" s="183"/>
      <c r="O381" s="183"/>
      <c r="P381" s="183"/>
      <c r="Q381" s="183"/>
      <c r="R381" s="183"/>
      <c r="S381" s="183"/>
      <c r="T381" s="183"/>
      <c r="U381" s="183"/>
      <c r="V381" s="183"/>
      <c r="W381" s="183"/>
      <c r="X381" s="183"/>
      <c r="Y381" s="183"/>
      <c r="Z381" s="183"/>
    </row>
    <row r="382" spans="1:26" ht="15" customHeight="1" x14ac:dyDescent="0.25">
      <c r="A382" s="183"/>
      <c r="B382" s="183"/>
      <c r="C382" s="183"/>
      <c r="D382" s="183"/>
      <c r="E382" s="183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  <c r="U382" s="183"/>
      <c r="V382" s="183"/>
      <c r="W382" s="183"/>
      <c r="X382" s="183"/>
      <c r="Y382" s="183"/>
      <c r="Z382" s="183"/>
    </row>
    <row r="383" spans="1:26" ht="15" customHeight="1" x14ac:dyDescent="0.25">
      <c r="A383" s="183"/>
      <c r="B383" s="183"/>
      <c r="C383" s="183"/>
      <c r="D383" s="183"/>
      <c r="E383" s="183"/>
      <c r="F383" s="183"/>
      <c r="G383" s="183"/>
      <c r="H383" s="183"/>
      <c r="I383" s="183"/>
      <c r="J383" s="183"/>
      <c r="K383" s="183"/>
      <c r="L383" s="183"/>
      <c r="M383" s="183"/>
      <c r="N383" s="183"/>
      <c r="O383" s="183"/>
      <c r="P383" s="183"/>
      <c r="Q383" s="183"/>
      <c r="R383" s="183"/>
      <c r="S383" s="183"/>
      <c r="T383" s="183"/>
      <c r="U383" s="183"/>
      <c r="V383" s="183"/>
      <c r="W383" s="183"/>
      <c r="X383" s="183"/>
      <c r="Y383" s="183"/>
      <c r="Z383" s="183"/>
    </row>
    <row r="384" spans="1:26" ht="15" customHeight="1" x14ac:dyDescent="0.25">
      <c r="A384" s="183"/>
      <c r="B384" s="183"/>
      <c r="C384" s="183"/>
      <c r="D384" s="183"/>
      <c r="E384" s="183"/>
      <c r="F384" s="183"/>
      <c r="G384" s="183"/>
      <c r="H384" s="183"/>
      <c r="I384" s="183"/>
      <c r="J384" s="183"/>
      <c r="K384" s="183"/>
      <c r="L384" s="183"/>
      <c r="M384" s="183"/>
      <c r="N384" s="183"/>
      <c r="O384" s="183"/>
      <c r="P384" s="183"/>
      <c r="Q384" s="183"/>
      <c r="R384" s="183"/>
      <c r="S384" s="183"/>
      <c r="T384" s="183"/>
      <c r="U384" s="183"/>
      <c r="V384" s="183"/>
      <c r="W384" s="183"/>
      <c r="X384" s="183"/>
      <c r="Y384" s="183"/>
      <c r="Z384" s="183"/>
    </row>
    <row r="385" spans="1:26" ht="15" customHeight="1" x14ac:dyDescent="0.25">
      <c r="A385" s="183"/>
      <c r="B385" s="183"/>
      <c r="C385" s="183"/>
      <c r="D385" s="183"/>
      <c r="E385" s="183"/>
      <c r="F385" s="183"/>
      <c r="G385" s="183"/>
      <c r="H385" s="183"/>
      <c r="I385" s="183"/>
      <c r="J385" s="183"/>
      <c r="K385" s="183"/>
      <c r="L385" s="183"/>
      <c r="M385" s="183"/>
      <c r="N385" s="183"/>
      <c r="O385" s="183"/>
      <c r="P385" s="183"/>
      <c r="Q385" s="183"/>
      <c r="R385" s="183"/>
      <c r="S385" s="183"/>
      <c r="T385" s="183"/>
      <c r="U385" s="183"/>
      <c r="V385" s="183"/>
      <c r="W385" s="183"/>
      <c r="X385" s="183"/>
      <c r="Y385" s="183"/>
      <c r="Z385" s="183"/>
    </row>
    <row r="386" spans="1:26" ht="15" customHeight="1" x14ac:dyDescent="0.25">
      <c r="A386" s="183"/>
      <c r="B386" s="183"/>
      <c r="C386" s="183"/>
      <c r="D386" s="183"/>
      <c r="E386" s="183"/>
      <c r="F386" s="183"/>
      <c r="G386" s="183"/>
      <c r="H386" s="183"/>
      <c r="I386" s="183"/>
      <c r="J386" s="183"/>
      <c r="K386" s="183"/>
      <c r="L386" s="183"/>
      <c r="M386" s="183"/>
      <c r="N386" s="183"/>
      <c r="O386" s="183"/>
      <c r="P386" s="183"/>
      <c r="Q386" s="183"/>
      <c r="R386" s="183"/>
      <c r="S386" s="183"/>
      <c r="T386" s="183"/>
      <c r="U386" s="183"/>
      <c r="V386" s="183"/>
      <c r="W386" s="183"/>
      <c r="X386" s="183"/>
      <c r="Y386" s="183"/>
      <c r="Z386" s="183"/>
    </row>
    <row r="387" spans="1:26" ht="15" customHeight="1" x14ac:dyDescent="0.25">
      <c r="A387" s="183"/>
      <c r="B387" s="183"/>
      <c r="C387" s="183"/>
      <c r="D387" s="183"/>
      <c r="E387" s="183"/>
      <c r="F387" s="183"/>
      <c r="G387" s="183"/>
      <c r="H387" s="183"/>
      <c r="I387" s="183"/>
      <c r="J387" s="183"/>
      <c r="K387" s="183"/>
      <c r="L387" s="183"/>
      <c r="M387" s="183"/>
      <c r="N387" s="183"/>
      <c r="O387" s="183"/>
      <c r="P387" s="183"/>
      <c r="Q387" s="183"/>
      <c r="R387" s="183"/>
      <c r="S387" s="183"/>
      <c r="T387" s="183"/>
      <c r="U387" s="183"/>
      <c r="V387" s="183"/>
      <c r="W387" s="183"/>
      <c r="X387" s="183"/>
      <c r="Y387" s="183"/>
      <c r="Z387" s="183"/>
    </row>
    <row r="388" spans="1:26" ht="15" customHeight="1" x14ac:dyDescent="0.25">
      <c r="A388" s="183"/>
      <c r="B388" s="183"/>
      <c r="C388" s="183"/>
      <c r="D388" s="183"/>
      <c r="E388" s="183"/>
      <c r="F388" s="183"/>
      <c r="G388" s="183"/>
      <c r="H388" s="183"/>
      <c r="I388" s="183"/>
      <c r="J388" s="183"/>
      <c r="K388" s="183"/>
      <c r="L388" s="183"/>
      <c r="M388" s="183"/>
      <c r="N388" s="183"/>
      <c r="O388" s="183"/>
      <c r="P388" s="183"/>
      <c r="Q388" s="183"/>
      <c r="R388" s="183"/>
      <c r="S388" s="183"/>
      <c r="T388" s="183"/>
      <c r="U388" s="183"/>
      <c r="V388" s="183"/>
      <c r="W388" s="183"/>
      <c r="X388" s="183"/>
      <c r="Y388" s="183"/>
      <c r="Z388" s="183"/>
    </row>
    <row r="389" spans="1:26" ht="15" customHeight="1" x14ac:dyDescent="0.25">
      <c r="A389" s="183"/>
      <c r="B389" s="183"/>
      <c r="C389" s="183"/>
      <c r="D389" s="183"/>
      <c r="E389" s="183"/>
      <c r="F389" s="183"/>
      <c r="G389" s="183"/>
      <c r="H389" s="183"/>
      <c r="I389" s="183"/>
      <c r="J389" s="183"/>
      <c r="K389" s="183"/>
      <c r="L389" s="183"/>
      <c r="M389" s="183"/>
      <c r="N389" s="183"/>
      <c r="O389" s="183"/>
      <c r="P389" s="183"/>
      <c r="Q389" s="183"/>
      <c r="R389" s="183"/>
      <c r="S389" s="183"/>
      <c r="T389" s="183"/>
      <c r="U389" s="183"/>
      <c r="V389" s="183"/>
      <c r="W389" s="183"/>
      <c r="X389" s="183"/>
      <c r="Y389" s="183"/>
      <c r="Z389" s="183"/>
    </row>
    <row r="390" spans="1:26" ht="15" customHeight="1" x14ac:dyDescent="0.25">
      <c r="A390" s="183"/>
      <c r="B390" s="183"/>
      <c r="C390" s="183"/>
      <c r="D390" s="183"/>
      <c r="E390" s="183"/>
      <c r="F390" s="183"/>
      <c r="G390" s="183"/>
      <c r="H390" s="183"/>
      <c r="I390" s="183"/>
      <c r="J390" s="183"/>
      <c r="K390" s="183"/>
      <c r="L390" s="183"/>
      <c r="M390" s="183"/>
      <c r="N390" s="183"/>
      <c r="O390" s="183"/>
      <c r="P390" s="183"/>
      <c r="Q390" s="183"/>
      <c r="R390" s="183"/>
      <c r="S390" s="183"/>
      <c r="T390" s="183"/>
      <c r="U390" s="183"/>
      <c r="V390" s="183"/>
      <c r="W390" s="183"/>
      <c r="X390" s="183"/>
      <c r="Y390" s="183"/>
      <c r="Z390" s="183"/>
    </row>
    <row r="391" spans="1:26" ht="15" customHeight="1" x14ac:dyDescent="0.25">
      <c r="A391" s="183"/>
      <c r="B391" s="183"/>
      <c r="C391" s="183"/>
      <c r="D391" s="183"/>
      <c r="E391" s="183"/>
      <c r="F391" s="183"/>
      <c r="G391" s="183"/>
      <c r="H391" s="183"/>
      <c r="I391" s="183"/>
      <c r="J391" s="183"/>
      <c r="K391" s="183"/>
      <c r="L391" s="183"/>
      <c r="M391" s="183"/>
      <c r="N391" s="183"/>
      <c r="O391" s="183"/>
      <c r="P391" s="183"/>
      <c r="Q391" s="183"/>
      <c r="R391" s="183"/>
      <c r="S391" s="183"/>
      <c r="T391" s="183"/>
      <c r="U391" s="183"/>
      <c r="V391" s="183"/>
      <c r="W391" s="183"/>
      <c r="X391" s="183"/>
      <c r="Y391" s="183"/>
      <c r="Z391" s="183"/>
    </row>
    <row r="392" spans="1:26" ht="15" customHeight="1" x14ac:dyDescent="0.25">
      <c r="A392" s="183"/>
      <c r="B392" s="183"/>
      <c r="C392" s="183"/>
      <c r="D392" s="183"/>
      <c r="E392" s="183"/>
      <c r="F392" s="183"/>
      <c r="G392" s="183"/>
      <c r="H392" s="183"/>
      <c r="I392" s="183"/>
      <c r="J392" s="183"/>
      <c r="K392" s="183"/>
      <c r="L392" s="183"/>
      <c r="M392" s="183"/>
      <c r="N392" s="183"/>
      <c r="O392" s="183"/>
      <c r="P392" s="183"/>
      <c r="Q392" s="183"/>
      <c r="R392" s="183"/>
      <c r="S392" s="183"/>
      <c r="T392" s="183"/>
      <c r="U392" s="183"/>
      <c r="V392" s="183"/>
      <c r="W392" s="183"/>
      <c r="X392" s="183"/>
      <c r="Y392" s="183"/>
      <c r="Z392" s="183"/>
    </row>
    <row r="393" spans="1:26" ht="15" customHeight="1" x14ac:dyDescent="0.25">
      <c r="A393" s="183"/>
      <c r="B393" s="183"/>
      <c r="C393" s="183"/>
      <c r="D393" s="183"/>
      <c r="E393" s="183"/>
      <c r="F393" s="183"/>
      <c r="G393" s="183"/>
      <c r="H393" s="183"/>
      <c r="I393" s="183"/>
      <c r="J393" s="183"/>
      <c r="K393" s="183"/>
      <c r="L393" s="183"/>
      <c r="M393" s="183"/>
      <c r="N393" s="183"/>
      <c r="O393" s="183"/>
      <c r="P393" s="183"/>
      <c r="Q393" s="183"/>
      <c r="R393" s="183"/>
      <c r="S393" s="183"/>
      <c r="T393" s="183"/>
      <c r="U393" s="183"/>
      <c r="V393" s="183"/>
      <c r="W393" s="183"/>
      <c r="X393" s="183"/>
      <c r="Y393" s="183"/>
      <c r="Z393" s="183"/>
    </row>
    <row r="394" spans="1:26" ht="15" customHeight="1" x14ac:dyDescent="0.25">
      <c r="A394" s="183"/>
      <c r="B394" s="183"/>
      <c r="C394" s="183"/>
      <c r="D394" s="183"/>
      <c r="E394" s="183"/>
      <c r="F394" s="183"/>
      <c r="G394" s="183"/>
      <c r="H394" s="183"/>
      <c r="I394" s="183"/>
      <c r="J394" s="183"/>
      <c r="K394" s="183"/>
      <c r="L394" s="183"/>
      <c r="M394" s="183"/>
      <c r="N394" s="183"/>
      <c r="O394" s="183"/>
      <c r="P394" s="183"/>
      <c r="Q394" s="183"/>
      <c r="R394" s="183"/>
      <c r="S394" s="183"/>
      <c r="T394" s="183"/>
      <c r="U394" s="183"/>
      <c r="V394" s="183"/>
      <c r="W394" s="183"/>
      <c r="X394" s="183"/>
      <c r="Y394" s="183"/>
      <c r="Z394" s="183"/>
    </row>
    <row r="395" spans="1:26" ht="15" customHeight="1" x14ac:dyDescent="0.25">
      <c r="A395" s="183"/>
      <c r="B395" s="183"/>
      <c r="C395" s="183"/>
      <c r="D395" s="183"/>
      <c r="E395" s="183"/>
      <c r="F395" s="183"/>
      <c r="G395" s="183"/>
      <c r="H395" s="183"/>
      <c r="I395" s="183"/>
      <c r="J395" s="183"/>
      <c r="K395" s="183"/>
      <c r="L395" s="183"/>
      <c r="M395" s="183"/>
      <c r="N395" s="183"/>
      <c r="O395" s="183"/>
      <c r="P395" s="183"/>
      <c r="Q395" s="183"/>
      <c r="R395" s="183"/>
      <c r="S395" s="183"/>
      <c r="T395" s="183"/>
      <c r="U395" s="183"/>
      <c r="V395" s="183"/>
      <c r="W395" s="183"/>
      <c r="X395" s="183"/>
      <c r="Y395" s="183"/>
      <c r="Z395" s="183"/>
    </row>
    <row r="396" spans="1:26" ht="15" customHeight="1" x14ac:dyDescent="0.25">
      <c r="A396" s="183"/>
      <c r="B396" s="183"/>
      <c r="C396" s="183"/>
      <c r="D396" s="183"/>
      <c r="E396" s="183"/>
      <c r="F396" s="183"/>
      <c r="G396" s="183"/>
      <c r="H396" s="183"/>
      <c r="I396" s="183"/>
      <c r="J396" s="183"/>
      <c r="K396" s="183"/>
      <c r="L396" s="183"/>
      <c r="M396" s="183"/>
      <c r="N396" s="183"/>
      <c r="O396" s="183"/>
      <c r="P396" s="183"/>
      <c r="Q396" s="183"/>
      <c r="R396" s="183"/>
      <c r="S396" s="183"/>
      <c r="T396" s="183"/>
      <c r="U396" s="183"/>
      <c r="V396" s="183"/>
      <c r="W396" s="183"/>
      <c r="X396" s="183"/>
      <c r="Y396" s="183"/>
      <c r="Z396" s="183"/>
    </row>
    <row r="397" spans="1:26" ht="15" customHeight="1" x14ac:dyDescent="0.25">
      <c r="A397" s="183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183"/>
      <c r="O397" s="183"/>
      <c r="P397" s="183"/>
      <c r="Q397" s="183"/>
      <c r="R397" s="183"/>
      <c r="S397" s="183"/>
      <c r="T397" s="183"/>
      <c r="U397" s="183"/>
      <c r="V397" s="183"/>
      <c r="W397" s="183"/>
      <c r="X397" s="183"/>
      <c r="Y397" s="183"/>
      <c r="Z397" s="183"/>
    </row>
    <row r="398" spans="1:26" ht="15" customHeight="1" x14ac:dyDescent="0.25">
      <c r="A398" s="183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183"/>
      <c r="O398" s="183"/>
      <c r="P398" s="183"/>
      <c r="Q398" s="183"/>
      <c r="R398" s="183"/>
      <c r="S398" s="183"/>
      <c r="T398" s="183"/>
      <c r="U398" s="183"/>
      <c r="V398" s="183"/>
      <c r="W398" s="183"/>
      <c r="X398" s="183"/>
      <c r="Y398" s="183"/>
      <c r="Z398" s="183"/>
    </row>
    <row r="399" spans="1:26" ht="15" customHeight="1" x14ac:dyDescent="0.25">
      <c r="A399" s="183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183"/>
      <c r="O399" s="183"/>
      <c r="P399" s="183"/>
      <c r="Q399" s="183"/>
      <c r="R399" s="183"/>
      <c r="S399" s="183"/>
      <c r="T399" s="183"/>
      <c r="U399" s="183"/>
      <c r="V399" s="183"/>
      <c r="W399" s="183"/>
      <c r="X399" s="183"/>
      <c r="Y399" s="183"/>
      <c r="Z399" s="183"/>
    </row>
    <row r="400" spans="1:26" ht="15" customHeight="1" x14ac:dyDescent="0.25">
      <c r="A400" s="183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183"/>
      <c r="O400" s="183"/>
      <c r="P400" s="183"/>
      <c r="Q400" s="183"/>
      <c r="R400" s="183"/>
      <c r="S400" s="183"/>
      <c r="T400" s="183"/>
      <c r="U400" s="183"/>
      <c r="V400" s="183"/>
      <c r="W400" s="183"/>
      <c r="X400" s="183"/>
      <c r="Y400" s="183"/>
      <c r="Z400" s="183"/>
    </row>
    <row r="401" spans="1:26" ht="15" customHeight="1" x14ac:dyDescent="0.25">
      <c r="A401" s="183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183"/>
      <c r="O401" s="183"/>
      <c r="P401" s="183"/>
      <c r="Q401" s="183"/>
      <c r="R401" s="183"/>
      <c r="S401" s="183"/>
      <c r="T401" s="183"/>
      <c r="U401" s="183"/>
      <c r="V401" s="183"/>
      <c r="W401" s="183"/>
      <c r="X401" s="183"/>
      <c r="Y401" s="183"/>
      <c r="Z401" s="183"/>
    </row>
    <row r="402" spans="1:26" ht="15" customHeight="1" x14ac:dyDescent="0.25">
      <c r="A402" s="183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183"/>
      <c r="O402" s="183"/>
      <c r="P402" s="183"/>
      <c r="Q402" s="183"/>
      <c r="R402" s="183"/>
      <c r="S402" s="183"/>
      <c r="T402" s="183"/>
      <c r="U402" s="183"/>
      <c r="V402" s="183"/>
      <c r="W402" s="183"/>
      <c r="X402" s="183"/>
      <c r="Y402" s="183"/>
      <c r="Z402" s="183"/>
    </row>
    <row r="403" spans="1:26" ht="15" customHeight="1" x14ac:dyDescent="0.25">
      <c r="A403" s="183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183"/>
      <c r="O403" s="183"/>
      <c r="P403" s="183"/>
      <c r="Q403" s="183"/>
      <c r="R403" s="183"/>
      <c r="S403" s="183"/>
      <c r="T403" s="183"/>
      <c r="U403" s="183"/>
      <c r="V403" s="183"/>
      <c r="W403" s="183"/>
      <c r="X403" s="183"/>
      <c r="Y403" s="183"/>
      <c r="Z403" s="183"/>
    </row>
    <row r="404" spans="1:26" ht="15" customHeight="1" x14ac:dyDescent="0.25">
      <c r="A404" s="183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183"/>
      <c r="O404" s="183"/>
      <c r="P404" s="183"/>
      <c r="Q404" s="183"/>
      <c r="R404" s="183"/>
      <c r="S404" s="183"/>
      <c r="T404" s="183"/>
      <c r="U404" s="183"/>
      <c r="V404" s="183"/>
      <c r="W404" s="183"/>
      <c r="X404" s="183"/>
      <c r="Y404" s="183"/>
      <c r="Z404" s="183"/>
    </row>
    <row r="405" spans="1:26" ht="15" customHeight="1" x14ac:dyDescent="0.25">
      <c r="A405" s="183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183"/>
      <c r="O405" s="183"/>
      <c r="P405" s="183"/>
      <c r="Q405" s="183"/>
      <c r="R405" s="183"/>
      <c r="S405" s="183"/>
      <c r="T405" s="183"/>
      <c r="U405" s="183"/>
      <c r="V405" s="183"/>
      <c r="W405" s="183"/>
      <c r="X405" s="183"/>
      <c r="Y405" s="183"/>
      <c r="Z405" s="183"/>
    </row>
    <row r="406" spans="1:26" ht="15" customHeight="1" x14ac:dyDescent="0.25">
      <c r="A406" s="183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83"/>
      <c r="O406" s="183"/>
      <c r="P406" s="183"/>
      <c r="Q406" s="183"/>
      <c r="R406" s="183"/>
      <c r="S406" s="183"/>
      <c r="T406" s="183"/>
      <c r="U406" s="183"/>
      <c r="V406" s="183"/>
      <c r="W406" s="183"/>
      <c r="X406" s="183"/>
      <c r="Y406" s="183"/>
      <c r="Z406" s="183"/>
    </row>
    <row r="407" spans="1:26" ht="15" customHeight="1" x14ac:dyDescent="0.25">
      <c r="A407" s="183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183"/>
      <c r="O407" s="183"/>
      <c r="P407" s="183"/>
      <c r="Q407" s="183"/>
      <c r="R407" s="183"/>
      <c r="S407" s="183"/>
      <c r="T407" s="183"/>
      <c r="U407" s="183"/>
      <c r="V407" s="183"/>
      <c r="W407" s="183"/>
      <c r="X407" s="183"/>
      <c r="Y407" s="183"/>
      <c r="Z407" s="183"/>
    </row>
    <row r="408" spans="1:26" ht="15" customHeight="1" x14ac:dyDescent="0.25">
      <c r="A408" s="183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183"/>
      <c r="O408" s="183"/>
      <c r="P408" s="183"/>
      <c r="Q408" s="183"/>
      <c r="R408" s="183"/>
      <c r="S408" s="183"/>
      <c r="T408" s="183"/>
      <c r="U408" s="183"/>
      <c r="V408" s="183"/>
      <c r="W408" s="183"/>
      <c r="X408" s="183"/>
      <c r="Y408" s="183"/>
      <c r="Z408" s="183"/>
    </row>
    <row r="409" spans="1:26" ht="15" customHeight="1" x14ac:dyDescent="0.25">
      <c r="A409" s="183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183"/>
      <c r="O409" s="183"/>
      <c r="P409" s="183"/>
      <c r="Q409" s="183"/>
      <c r="R409" s="183"/>
      <c r="S409" s="183"/>
      <c r="T409" s="183"/>
      <c r="U409" s="183"/>
      <c r="V409" s="183"/>
      <c r="W409" s="183"/>
      <c r="X409" s="183"/>
      <c r="Y409" s="183"/>
      <c r="Z409" s="183"/>
    </row>
    <row r="410" spans="1:26" ht="15" customHeight="1" x14ac:dyDescent="0.25">
      <c r="A410" s="183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183"/>
      <c r="O410" s="183"/>
      <c r="P410" s="183"/>
      <c r="Q410" s="183"/>
      <c r="R410" s="183"/>
      <c r="S410" s="183"/>
      <c r="T410" s="183"/>
      <c r="U410" s="183"/>
      <c r="V410" s="183"/>
      <c r="W410" s="183"/>
      <c r="X410" s="183"/>
      <c r="Y410" s="183"/>
      <c r="Z410" s="183"/>
    </row>
    <row r="411" spans="1:26" ht="15" customHeight="1" x14ac:dyDescent="0.25">
      <c r="A411" s="183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183"/>
      <c r="O411" s="183"/>
      <c r="P411" s="183"/>
      <c r="Q411" s="183"/>
      <c r="R411" s="183"/>
      <c r="S411" s="183"/>
      <c r="T411" s="183"/>
      <c r="U411" s="183"/>
      <c r="V411" s="183"/>
      <c r="W411" s="183"/>
      <c r="X411" s="183"/>
      <c r="Y411" s="183"/>
      <c r="Z411" s="183"/>
    </row>
    <row r="412" spans="1:26" ht="15" customHeight="1" x14ac:dyDescent="0.25">
      <c r="A412" s="183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183"/>
      <c r="O412" s="183"/>
      <c r="P412" s="183"/>
      <c r="Q412" s="183"/>
      <c r="R412" s="183"/>
      <c r="S412" s="183"/>
      <c r="T412" s="183"/>
      <c r="U412" s="183"/>
      <c r="V412" s="183"/>
      <c r="W412" s="183"/>
      <c r="X412" s="183"/>
      <c r="Y412" s="183"/>
      <c r="Z412" s="183"/>
    </row>
    <row r="413" spans="1:26" ht="15" customHeight="1" x14ac:dyDescent="0.25">
      <c r="A413" s="183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183"/>
      <c r="O413" s="183"/>
      <c r="P413" s="183"/>
      <c r="Q413" s="183"/>
      <c r="R413" s="183"/>
      <c r="S413" s="183"/>
      <c r="T413" s="183"/>
      <c r="U413" s="183"/>
      <c r="V413" s="183"/>
      <c r="W413" s="183"/>
      <c r="X413" s="183"/>
      <c r="Y413" s="183"/>
      <c r="Z413" s="183"/>
    </row>
    <row r="414" spans="1:26" ht="15" customHeight="1" x14ac:dyDescent="0.25">
      <c r="A414" s="183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183"/>
      <c r="O414" s="183"/>
      <c r="P414" s="183"/>
      <c r="Q414" s="183"/>
      <c r="R414" s="183"/>
      <c r="S414" s="183"/>
      <c r="T414" s="183"/>
      <c r="U414" s="183"/>
      <c r="V414" s="183"/>
      <c r="W414" s="183"/>
      <c r="X414" s="183"/>
      <c r="Y414" s="183"/>
      <c r="Z414" s="183"/>
    </row>
    <row r="415" spans="1:26" ht="15" customHeight="1" x14ac:dyDescent="0.25">
      <c r="A415" s="183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183"/>
      <c r="O415" s="183"/>
      <c r="P415" s="183"/>
      <c r="Q415" s="183"/>
      <c r="R415" s="183"/>
      <c r="S415" s="183"/>
      <c r="T415" s="183"/>
      <c r="U415" s="183"/>
      <c r="V415" s="183"/>
      <c r="W415" s="183"/>
      <c r="X415" s="183"/>
      <c r="Y415" s="183"/>
      <c r="Z415" s="183"/>
    </row>
    <row r="416" spans="1:26" ht="15" customHeight="1" x14ac:dyDescent="0.25">
      <c r="A416" s="183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183"/>
      <c r="O416" s="183"/>
      <c r="P416" s="183"/>
      <c r="Q416" s="183"/>
      <c r="R416" s="183"/>
      <c r="S416" s="183"/>
      <c r="T416" s="183"/>
      <c r="U416" s="183"/>
      <c r="V416" s="183"/>
      <c r="W416" s="183"/>
      <c r="X416" s="183"/>
      <c r="Y416" s="183"/>
      <c r="Z416" s="183"/>
    </row>
    <row r="417" spans="1:26" ht="15" customHeight="1" x14ac:dyDescent="0.25">
      <c r="A417" s="183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183"/>
      <c r="O417" s="183"/>
      <c r="P417" s="183"/>
      <c r="Q417" s="183"/>
      <c r="R417" s="183"/>
      <c r="S417" s="183"/>
      <c r="T417" s="183"/>
      <c r="U417" s="183"/>
      <c r="V417" s="183"/>
      <c r="W417" s="183"/>
      <c r="X417" s="183"/>
      <c r="Y417" s="183"/>
      <c r="Z417" s="183"/>
    </row>
    <row r="418" spans="1:26" ht="15" customHeight="1" x14ac:dyDescent="0.25">
      <c r="A418" s="183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183"/>
      <c r="O418" s="183"/>
      <c r="P418" s="183"/>
      <c r="Q418" s="183"/>
      <c r="R418" s="183"/>
      <c r="S418" s="183"/>
      <c r="T418" s="183"/>
      <c r="U418" s="183"/>
      <c r="V418" s="183"/>
      <c r="W418" s="183"/>
      <c r="X418" s="183"/>
      <c r="Y418" s="183"/>
      <c r="Z418" s="183"/>
    </row>
    <row r="419" spans="1:26" ht="15" customHeight="1" x14ac:dyDescent="0.25">
      <c r="A419" s="183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183"/>
      <c r="O419" s="183"/>
      <c r="P419" s="183"/>
      <c r="Q419" s="183"/>
      <c r="R419" s="183"/>
      <c r="S419" s="183"/>
      <c r="T419" s="183"/>
      <c r="U419" s="183"/>
      <c r="V419" s="183"/>
      <c r="W419" s="183"/>
      <c r="X419" s="183"/>
      <c r="Y419" s="183"/>
      <c r="Z419" s="183"/>
    </row>
    <row r="420" spans="1:26" ht="15" customHeight="1" x14ac:dyDescent="0.25">
      <c r="A420" s="183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183"/>
      <c r="O420" s="183"/>
      <c r="P420" s="183"/>
      <c r="Q420" s="183"/>
      <c r="R420" s="183"/>
      <c r="S420" s="183"/>
      <c r="T420" s="183"/>
      <c r="U420" s="183"/>
      <c r="V420" s="183"/>
      <c r="W420" s="183"/>
      <c r="X420" s="183"/>
      <c r="Y420" s="183"/>
      <c r="Z420" s="183"/>
    </row>
    <row r="421" spans="1:26" ht="15" customHeight="1" x14ac:dyDescent="0.25">
      <c r="A421" s="183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183"/>
      <c r="O421" s="183"/>
      <c r="P421" s="183"/>
      <c r="Q421" s="183"/>
      <c r="R421" s="183"/>
      <c r="S421" s="183"/>
      <c r="T421" s="183"/>
      <c r="U421" s="183"/>
      <c r="V421" s="183"/>
      <c r="W421" s="183"/>
      <c r="X421" s="183"/>
      <c r="Y421" s="183"/>
      <c r="Z421" s="183"/>
    </row>
    <row r="422" spans="1:26" ht="15" customHeight="1" x14ac:dyDescent="0.25">
      <c r="A422" s="183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183"/>
      <c r="O422" s="183"/>
      <c r="P422" s="183"/>
      <c r="Q422" s="183"/>
      <c r="R422" s="183"/>
      <c r="S422" s="183"/>
      <c r="T422" s="183"/>
      <c r="U422" s="183"/>
      <c r="V422" s="183"/>
      <c r="W422" s="183"/>
      <c r="X422" s="183"/>
      <c r="Y422" s="183"/>
      <c r="Z422" s="183"/>
    </row>
    <row r="423" spans="1:26" ht="15" customHeight="1" x14ac:dyDescent="0.25">
      <c r="A423" s="183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183"/>
      <c r="O423" s="183"/>
      <c r="P423" s="183"/>
      <c r="Q423" s="183"/>
      <c r="R423" s="183"/>
      <c r="S423" s="183"/>
      <c r="T423" s="183"/>
      <c r="U423" s="183"/>
      <c r="V423" s="183"/>
      <c r="W423" s="183"/>
      <c r="X423" s="183"/>
      <c r="Y423" s="183"/>
      <c r="Z423" s="183"/>
    </row>
    <row r="424" spans="1:26" ht="15" customHeight="1" x14ac:dyDescent="0.25">
      <c r="A424" s="183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83"/>
      <c r="O424" s="183"/>
      <c r="P424" s="183"/>
      <c r="Q424" s="183"/>
      <c r="R424" s="183"/>
      <c r="S424" s="183"/>
      <c r="T424" s="183"/>
      <c r="U424" s="183"/>
      <c r="V424" s="183"/>
      <c r="W424" s="183"/>
      <c r="X424" s="183"/>
      <c r="Y424" s="183"/>
      <c r="Z424" s="183"/>
    </row>
    <row r="425" spans="1:26" ht="15" customHeight="1" x14ac:dyDescent="0.25">
      <c r="A425" s="183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83"/>
      <c r="O425" s="183"/>
      <c r="P425" s="183"/>
      <c r="Q425" s="183"/>
      <c r="R425" s="183"/>
      <c r="S425" s="183"/>
      <c r="T425" s="183"/>
      <c r="U425" s="183"/>
      <c r="V425" s="183"/>
      <c r="W425" s="183"/>
      <c r="X425" s="183"/>
      <c r="Y425" s="183"/>
      <c r="Z425" s="183"/>
    </row>
    <row r="426" spans="1:26" ht="15" customHeight="1" x14ac:dyDescent="0.25">
      <c r="A426" s="183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83"/>
      <c r="O426" s="183"/>
      <c r="P426" s="183"/>
      <c r="Q426" s="183"/>
      <c r="R426" s="183"/>
      <c r="S426" s="183"/>
      <c r="T426" s="183"/>
      <c r="U426" s="183"/>
      <c r="V426" s="183"/>
      <c r="W426" s="183"/>
      <c r="X426" s="183"/>
      <c r="Y426" s="183"/>
      <c r="Z426" s="183"/>
    </row>
    <row r="427" spans="1:26" ht="15" customHeight="1" x14ac:dyDescent="0.25">
      <c r="A427" s="183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83"/>
      <c r="O427" s="183"/>
      <c r="P427" s="183"/>
      <c r="Q427" s="183"/>
      <c r="R427" s="183"/>
      <c r="S427" s="183"/>
      <c r="T427" s="183"/>
      <c r="U427" s="183"/>
      <c r="V427" s="183"/>
      <c r="W427" s="183"/>
      <c r="X427" s="183"/>
      <c r="Y427" s="183"/>
      <c r="Z427" s="183"/>
    </row>
    <row r="428" spans="1:26" ht="15" customHeight="1" x14ac:dyDescent="0.25">
      <c r="A428" s="183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183"/>
      <c r="O428" s="183"/>
      <c r="P428" s="183"/>
      <c r="Q428" s="183"/>
      <c r="R428" s="183"/>
      <c r="S428" s="183"/>
      <c r="T428" s="183"/>
      <c r="U428" s="183"/>
      <c r="V428" s="183"/>
      <c r="W428" s="183"/>
      <c r="X428" s="183"/>
      <c r="Y428" s="183"/>
      <c r="Z428" s="183"/>
    </row>
    <row r="429" spans="1:26" ht="15" customHeight="1" x14ac:dyDescent="0.25">
      <c r="A429" s="183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83"/>
      <c r="O429" s="183"/>
      <c r="P429" s="183"/>
      <c r="Q429" s="183"/>
      <c r="R429" s="183"/>
      <c r="S429" s="183"/>
      <c r="T429" s="183"/>
      <c r="U429" s="183"/>
      <c r="V429" s="183"/>
      <c r="W429" s="183"/>
      <c r="X429" s="183"/>
      <c r="Y429" s="183"/>
      <c r="Z429" s="183"/>
    </row>
    <row r="430" spans="1:26" ht="15" customHeight="1" x14ac:dyDescent="0.25">
      <c r="A430" s="183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83"/>
      <c r="O430" s="183"/>
      <c r="P430" s="183"/>
      <c r="Q430" s="183"/>
      <c r="R430" s="183"/>
      <c r="S430" s="183"/>
      <c r="T430" s="183"/>
      <c r="U430" s="183"/>
      <c r="V430" s="183"/>
      <c r="W430" s="183"/>
      <c r="X430" s="183"/>
      <c r="Y430" s="183"/>
      <c r="Z430" s="183"/>
    </row>
    <row r="431" spans="1:26" ht="15" customHeight="1" x14ac:dyDescent="0.25">
      <c r="A431" s="183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83"/>
      <c r="O431" s="183"/>
      <c r="P431" s="183"/>
      <c r="Q431" s="183"/>
      <c r="R431" s="183"/>
      <c r="S431" s="183"/>
      <c r="T431" s="183"/>
      <c r="U431" s="183"/>
      <c r="V431" s="183"/>
      <c r="W431" s="183"/>
      <c r="X431" s="183"/>
      <c r="Y431" s="183"/>
      <c r="Z431" s="183"/>
    </row>
    <row r="432" spans="1:26" ht="15" customHeight="1" x14ac:dyDescent="0.25">
      <c r="A432" s="183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83"/>
      <c r="O432" s="183"/>
      <c r="P432" s="183"/>
      <c r="Q432" s="183"/>
      <c r="R432" s="183"/>
      <c r="S432" s="183"/>
      <c r="T432" s="183"/>
      <c r="U432" s="183"/>
      <c r="V432" s="183"/>
      <c r="W432" s="183"/>
      <c r="X432" s="183"/>
      <c r="Y432" s="183"/>
      <c r="Z432" s="183"/>
    </row>
    <row r="433" spans="1:26" ht="15" customHeight="1" x14ac:dyDescent="0.25">
      <c r="A433" s="183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183"/>
      <c r="O433" s="183"/>
      <c r="P433" s="183"/>
      <c r="Q433" s="183"/>
      <c r="R433" s="183"/>
      <c r="S433" s="183"/>
      <c r="T433" s="183"/>
      <c r="U433" s="183"/>
      <c r="V433" s="183"/>
      <c r="W433" s="183"/>
      <c r="X433" s="183"/>
      <c r="Y433" s="183"/>
      <c r="Z433" s="183"/>
    </row>
    <row r="434" spans="1:26" ht="15" customHeight="1" x14ac:dyDescent="0.25">
      <c r="A434" s="183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183"/>
      <c r="O434" s="183"/>
      <c r="P434" s="183"/>
      <c r="Q434" s="183"/>
      <c r="R434" s="183"/>
      <c r="S434" s="183"/>
      <c r="T434" s="183"/>
      <c r="U434" s="183"/>
      <c r="V434" s="183"/>
      <c r="W434" s="183"/>
      <c r="X434" s="183"/>
      <c r="Y434" s="183"/>
      <c r="Z434" s="183"/>
    </row>
    <row r="435" spans="1:26" ht="15" customHeight="1" x14ac:dyDescent="0.25">
      <c r="A435" s="183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183"/>
      <c r="O435" s="183"/>
      <c r="P435" s="183"/>
      <c r="Q435" s="183"/>
      <c r="R435" s="183"/>
      <c r="S435" s="183"/>
      <c r="T435" s="183"/>
      <c r="U435" s="183"/>
      <c r="V435" s="183"/>
      <c r="W435" s="183"/>
      <c r="X435" s="183"/>
      <c r="Y435" s="183"/>
      <c r="Z435" s="183"/>
    </row>
    <row r="436" spans="1:26" ht="15" customHeight="1" x14ac:dyDescent="0.25">
      <c r="A436" s="183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183"/>
      <c r="O436" s="183"/>
      <c r="P436" s="183"/>
      <c r="Q436" s="183"/>
      <c r="R436" s="183"/>
      <c r="S436" s="183"/>
      <c r="T436" s="183"/>
      <c r="U436" s="183"/>
      <c r="V436" s="183"/>
      <c r="W436" s="183"/>
      <c r="X436" s="183"/>
      <c r="Y436" s="183"/>
      <c r="Z436" s="183"/>
    </row>
    <row r="437" spans="1:26" ht="15" customHeight="1" x14ac:dyDescent="0.25">
      <c r="A437" s="183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183"/>
      <c r="O437" s="183"/>
      <c r="P437" s="183"/>
      <c r="Q437" s="183"/>
      <c r="R437" s="183"/>
      <c r="S437" s="183"/>
      <c r="T437" s="183"/>
      <c r="U437" s="183"/>
      <c r="V437" s="183"/>
      <c r="W437" s="183"/>
      <c r="X437" s="183"/>
      <c r="Y437" s="183"/>
      <c r="Z437" s="183"/>
    </row>
    <row r="438" spans="1:26" ht="15" customHeight="1" x14ac:dyDescent="0.25">
      <c r="A438" s="183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183"/>
      <c r="O438" s="183"/>
      <c r="P438" s="183"/>
      <c r="Q438" s="183"/>
      <c r="R438" s="183"/>
      <c r="S438" s="183"/>
      <c r="T438" s="183"/>
      <c r="U438" s="183"/>
      <c r="V438" s="183"/>
      <c r="W438" s="183"/>
      <c r="X438" s="183"/>
      <c r="Y438" s="183"/>
      <c r="Z438" s="183"/>
    </row>
    <row r="439" spans="1:26" ht="15" customHeight="1" x14ac:dyDescent="0.25">
      <c r="A439" s="183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183"/>
      <c r="O439" s="183"/>
      <c r="P439" s="183"/>
      <c r="Q439" s="183"/>
      <c r="R439" s="183"/>
      <c r="S439" s="183"/>
      <c r="T439" s="183"/>
      <c r="U439" s="183"/>
      <c r="V439" s="183"/>
      <c r="W439" s="183"/>
      <c r="X439" s="183"/>
      <c r="Y439" s="183"/>
      <c r="Z439" s="183"/>
    </row>
    <row r="440" spans="1:26" ht="15" customHeight="1" x14ac:dyDescent="0.25">
      <c r="A440" s="183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183"/>
      <c r="O440" s="183"/>
      <c r="P440" s="183"/>
      <c r="Q440" s="183"/>
      <c r="R440" s="183"/>
      <c r="S440" s="183"/>
      <c r="T440" s="183"/>
      <c r="U440" s="183"/>
      <c r="V440" s="183"/>
      <c r="W440" s="183"/>
      <c r="X440" s="183"/>
      <c r="Y440" s="183"/>
      <c r="Z440" s="183"/>
    </row>
    <row r="441" spans="1:26" ht="15" customHeight="1" x14ac:dyDescent="0.25">
      <c r="A441" s="183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183"/>
      <c r="O441" s="183"/>
      <c r="P441" s="183"/>
      <c r="Q441" s="183"/>
      <c r="R441" s="183"/>
      <c r="S441" s="183"/>
      <c r="T441" s="183"/>
      <c r="U441" s="183"/>
      <c r="V441" s="183"/>
      <c r="W441" s="183"/>
      <c r="X441" s="183"/>
      <c r="Y441" s="183"/>
      <c r="Z441" s="183"/>
    </row>
    <row r="442" spans="1:26" ht="15" customHeight="1" x14ac:dyDescent="0.25">
      <c r="A442" s="183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183"/>
      <c r="O442" s="183"/>
      <c r="P442" s="183"/>
      <c r="Q442" s="183"/>
      <c r="R442" s="183"/>
      <c r="S442" s="183"/>
      <c r="T442" s="183"/>
      <c r="U442" s="183"/>
      <c r="V442" s="183"/>
      <c r="W442" s="183"/>
      <c r="X442" s="183"/>
      <c r="Y442" s="183"/>
      <c r="Z442" s="183"/>
    </row>
    <row r="443" spans="1:26" ht="15" customHeight="1" x14ac:dyDescent="0.25">
      <c r="A443" s="183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183"/>
      <c r="O443" s="183"/>
      <c r="P443" s="183"/>
      <c r="Q443" s="183"/>
      <c r="R443" s="183"/>
      <c r="S443" s="183"/>
      <c r="T443" s="183"/>
      <c r="U443" s="183"/>
      <c r="V443" s="183"/>
      <c r="W443" s="183"/>
      <c r="X443" s="183"/>
      <c r="Y443" s="183"/>
      <c r="Z443" s="183"/>
    </row>
    <row r="444" spans="1:26" ht="15" customHeight="1" x14ac:dyDescent="0.25">
      <c r="A444" s="183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183"/>
      <c r="O444" s="183"/>
      <c r="P444" s="183"/>
      <c r="Q444" s="183"/>
      <c r="R444" s="183"/>
      <c r="S444" s="183"/>
      <c r="T444" s="183"/>
      <c r="U444" s="183"/>
      <c r="V444" s="183"/>
      <c r="W444" s="183"/>
      <c r="X444" s="183"/>
      <c r="Y444" s="183"/>
      <c r="Z444" s="183"/>
    </row>
    <row r="445" spans="1:26" ht="15" customHeight="1" x14ac:dyDescent="0.25">
      <c r="A445" s="183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183"/>
      <c r="O445" s="183"/>
      <c r="P445" s="183"/>
      <c r="Q445" s="183"/>
      <c r="R445" s="183"/>
      <c r="S445" s="183"/>
      <c r="T445" s="183"/>
      <c r="U445" s="183"/>
      <c r="V445" s="183"/>
      <c r="W445" s="183"/>
      <c r="X445" s="183"/>
      <c r="Y445" s="183"/>
      <c r="Z445" s="183"/>
    </row>
    <row r="446" spans="1:26" ht="15" customHeight="1" x14ac:dyDescent="0.25">
      <c r="A446" s="183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183"/>
      <c r="O446" s="183"/>
      <c r="P446" s="183"/>
      <c r="Q446" s="183"/>
      <c r="R446" s="183"/>
      <c r="S446" s="183"/>
      <c r="T446" s="183"/>
      <c r="U446" s="183"/>
      <c r="V446" s="183"/>
      <c r="W446" s="183"/>
      <c r="X446" s="183"/>
      <c r="Y446" s="183"/>
      <c r="Z446" s="183"/>
    </row>
    <row r="447" spans="1:26" ht="15" customHeight="1" x14ac:dyDescent="0.25">
      <c r="A447" s="183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83"/>
      <c r="O447" s="183"/>
      <c r="P447" s="183"/>
      <c r="Q447" s="183"/>
      <c r="R447" s="183"/>
      <c r="S447" s="183"/>
      <c r="T447" s="183"/>
      <c r="U447" s="183"/>
      <c r="V447" s="183"/>
      <c r="W447" s="183"/>
      <c r="X447" s="183"/>
      <c r="Y447" s="183"/>
      <c r="Z447" s="183"/>
    </row>
    <row r="448" spans="1:26" ht="15" customHeight="1" x14ac:dyDescent="0.25">
      <c r="A448" s="183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83"/>
      <c r="O448" s="183"/>
      <c r="P448" s="183"/>
      <c r="Q448" s="183"/>
      <c r="R448" s="183"/>
      <c r="S448" s="183"/>
      <c r="T448" s="183"/>
      <c r="U448" s="183"/>
      <c r="V448" s="183"/>
      <c r="W448" s="183"/>
      <c r="X448" s="183"/>
      <c r="Y448" s="183"/>
      <c r="Z448" s="183"/>
    </row>
    <row r="449" spans="1:26" ht="15" customHeight="1" x14ac:dyDescent="0.25">
      <c r="A449" s="183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83"/>
      <c r="O449" s="183"/>
      <c r="P449" s="183"/>
      <c r="Q449" s="183"/>
      <c r="R449" s="183"/>
      <c r="S449" s="183"/>
      <c r="T449" s="183"/>
      <c r="U449" s="183"/>
      <c r="V449" s="183"/>
      <c r="W449" s="183"/>
      <c r="X449" s="183"/>
      <c r="Y449" s="183"/>
      <c r="Z449" s="183"/>
    </row>
    <row r="450" spans="1:26" ht="15" customHeight="1" x14ac:dyDescent="0.25">
      <c r="A450" s="183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183"/>
      <c r="O450" s="183"/>
      <c r="P450" s="183"/>
      <c r="Q450" s="183"/>
      <c r="R450" s="183"/>
      <c r="S450" s="183"/>
      <c r="T450" s="183"/>
      <c r="U450" s="183"/>
      <c r="V450" s="183"/>
      <c r="W450" s="183"/>
      <c r="X450" s="183"/>
      <c r="Y450" s="183"/>
      <c r="Z450" s="183"/>
    </row>
    <row r="451" spans="1:26" ht="15" customHeight="1" x14ac:dyDescent="0.25">
      <c r="A451" s="183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183"/>
      <c r="O451" s="183"/>
      <c r="P451" s="183"/>
      <c r="Q451" s="183"/>
      <c r="R451" s="183"/>
      <c r="S451" s="183"/>
      <c r="T451" s="183"/>
      <c r="U451" s="183"/>
      <c r="V451" s="183"/>
      <c r="W451" s="183"/>
      <c r="X451" s="183"/>
      <c r="Y451" s="183"/>
      <c r="Z451" s="183"/>
    </row>
    <row r="452" spans="1:26" ht="15" customHeight="1" x14ac:dyDescent="0.25">
      <c r="A452" s="183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83"/>
      <c r="O452" s="183"/>
      <c r="P452" s="183"/>
      <c r="Q452" s="183"/>
      <c r="R452" s="183"/>
      <c r="S452" s="183"/>
      <c r="T452" s="183"/>
      <c r="U452" s="183"/>
      <c r="V452" s="183"/>
      <c r="W452" s="183"/>
      <c r="X452" s="183"/>
      <c r="Y452" s="183"/>
      <c r="Z452" s="183"/>
    </row>
    <row r="453" spans="1:26" ht="15" customHeight="1" x14ac:dyDescent="0.25">
      <c r="A453" s="183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83"/>
      <c r="O453" s="183"/>
      <c r="P453" s="183"/>
      <c r="Q453" s="183"/>
      <c r="R453" s="183"/>
      <c r="S453" s="183"/>
      <c r="T453" s="183"/>
      <c r="U453" s="183"/>
      <c r="V453" s="183"/>
      <c r="W453" s="183"/>
      <c r="X453" s="183"/>
      <c r="Y453" s="183"/>
      <c r="Z453" s="183"/>
    </row>
    <row r="454" spans="1:26" ht="15" customHeight="1" x14ac:dyDescent="0.25">
      <c r="A454" s="183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83"/>
      <c r="O454" s="183"/>
      <c r="P454" s="183"/>
      <c r="Q454" s="183"/>
      <c r="R454" s="183"/>
      <c r="S454" s="183"/>
      <c r="T454" s="183"/>
      <c r="U454" s="183"/>
      <c r="V454" s="183"/>
      <c r="W454" s="183"/>
      <c r="X454" s="183"/>
      <c r="Y454" s="183"/>
      <c r="Z454" s="183"/>
    </row>
    <row r="455" spans="1:26" ht="15" customHeight="1" x14ac:dyDescent="0.25">
      <c r="A455" s="183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83"/>
      <c r="O455" s="183"/>
      <c r="P455" s="183"/>
      <c r="Q455" s="183"/>
      <c r="R455" s="183"/>
      <c r="S455" s="183"/>
      <c r="T455" s="183"/>
      <c r="U455" s="183"/>
      <c r="V455" s="183"/>
      <c r="W455" s="183"/>
      <c r="X455" s="183"/>
      <c r="Y455" s="183"/>
      <c r="Z455" s="183"/>
    </row>
    <row r="456" spans="1:26" ht="15" customHeight="1" x14ac:dyDescent="0.25">
      <c r="A456" s="183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83"/>
      <c r="O456" s="183"/>
      <c r="P456" s="183"/>
      <c r="Q456" s="183"/>
      <c r="R456" s="183"/>
      <c r="S456" s="183"/>
      <c r="T456" s="183"/>
      <c r="U456" s="183"/>
      <c r="V456" s="183"/>
      <c r="W456" s="183"/>
      <c r="X456" s="183"/>
      <c r="Y456" s="183"/>
      <c r="Z456" s="183"/>
    </row>
    <row r="457" spans="1:26" ht="15" customHeight="1" x14ac:dyDescent="0.25">
      <c r="A457" s="183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183"/>
      <c r="O457" s="183"/>
      <c r="P457" s="183"/>
      <c r="Q457" s="183"/>
      <c r="R457" s="183"/>
      <c r="S457" s="183"/>
      <c r="T457" s="183"/>
      <c r="U457" s="183"/>
      <c r="V457" s="183"/>
      <c r="W457" s="183"/>
      <c r="X457" s="183"/>
      <c r="Y457" s="183"/>
      <c r="Z457" s="183"/>
    </row>
    <row r="458" spans="1:26" ht="15" customHeight="1" x14ac:dyDescent="0.25">
      <c r="A458" s="183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183"/>
      <c r="O458" s="183"/>
      <c r="P458" s="183"/>
      <c r="Q458" s="183"/>
      <c r="R458" s="183"/>
      <c r="S458" s="183"/>
      <c r="T458" s="183"/>
      <c r="U458" s="183"/>
      <c r="V458" s="183"/>
      <c r="W458" s="183"/>
      <c r="X458" s="183"/>
      <c r="Y458" s="183"/>
      <c r="Z458" s="183"/>
    </row>
    <row r="459" spans="1:26" ht="15" customHeight="1" x14ac:dyDescent="0.25">
      <c r="A459" s="183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183"/>
      <c r="O459" s="183"/>
      <c r="P459" s="183"/>
      <c r="Q459" s="183"/>
      <c r="R459" s="183"/>
      <c r="S459" s="183"/>
      <c r="T459" s="183"/>
      <c r="U459" s="183"/>
      <c r="V459" s="183"/>
      <c r="W459" s="183"/>
      <c r="X459" s="183"/>
      <c r="Y459" s="183"/>
      <c r="Z459" s="183"/>
    </row>
    <row r="460" spans="1:26" ht="15" customHeight="1" x14ac:dyDescent="0.25">
      <c r="A460" s="183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183"/>
      <c r="O460" s="183"/>
      <c r="P460" s="183"/>
      <c r="Q460" s="183"/>
      <c r="R460" s="183"/>
      <c r="S460" s="183"/>
      <c r="T460" s="183"/>
      <c r="U460" s="183"/>
      <c r="V460" s="183"/>
      <c r="W460" s="183"/>
      <c r="X460" s="183"/>
      <c r="Y460" s="183"/>
      <c r="Z460" s="183"/>
    </row>
    <row r="461" spans="1:26" ht="15" customHeight="1" x14ac:dyDescent="0.25">
      <c r="A461" s="183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83"/>
      <c r="O461" s="183"/>
      <c r="P461" s="183"/>
      <c r="Q461" s="183"/>
      <c r="R461" s="183"/>
      <c r="S461" s="183"/>
      <c r="T461" s="183"/>
      <c r="U461" s="183"/>
      <c r="V461" s="183"/>
      <c r="W461" s="183"/>
      <c r="X461" s="183"/>
      <c r="Y461" s="183"/>
      <c r="Z461" s="183"/>
    </row>
    <row r="462" spans="1:26" ht="15" customHeight="1" x14ac:dyDescent="0.25">
      <c r="A462" s="183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183"/>
      <c r="O462" s="183"/>
      <c r="P462" s="183"/>
      <c r="Q462" s="183"/>
      <c r="R462" s="183"/>
      <c r="S462" s="183"/>
      <c r="T462" s="183"/>
      <c r="U462" s="183"/>
      <c r="V462" s="183"/>
      <c r="W462" s="183"/>
      <c r="X462" s="183"/>
      <c r="Y462" s="183"/>
      <c r="Z462" s="183"/>
    </row>
    <row r="463" spans="1:26" ht="15" customHeight="1" x14ac:dyDescent="0.25">
      <c r="A463" s="183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183"/>
      <c r="O463" s="183"/>
      <c r="P463" s="183"/>
      <c r="Q463" s="183"/>
      <c r="R463" s="183"/>
      <c r="S463" s="183"/>
      <c r="T463" s="183"/>
      <c r="U463" s="183"/>
      <c r="V463" s="183"/>
      <c r="W463" s="183"/>
      <c r="X463" s="183"/>
      <c r="Y463" s="183"/>
      <c r="Z463" s="183"/>
    </row>
    <row r="464" spans="1:26" ht="15" customHeight="1" x14ac:dyDescent="0.25">
      <c r="A464" s="183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183"/>
      <c r="O464" s="183"/>
      <c r="P464" s="183"/>
      <c r="Q464" s="183"/>
      <c r="R464" s="183"/>
      <c r="S464" s="183"/>
      <c r="T464" s="183"/>
      <c r="U464" s="183"/>
      <c r="V464" s="183"/>
      <c r="W464" s="183"/>
      <c r="X464" s="183"/>
      <c r="Y464" s="183"/>
      <c r="Z464" s="183"/>
    </row>
    <row r="465" spans="1:26" ht="15" customHeight="1" x14ac:dyDescent="0.25">
      <c r="A465" s="183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183"/>
      <c r="O465" s="183"/>
      <c r="P465" s="183"/>
      <c r="Q465" s="183"/>
      <c r="R465" s="183"/>
      <c r="S465" s="183"/>
      <c r="T465" s="183"/>
      <c r="U465" s="183"/>
      <c r="V465" s="183"/>
      <c r="W465" s="183"/>
      <c r="X465" s="183"/>
      <c r="Y465" s="183"/>
      <c r="Z465" s="183"/>
    </row>
    <row r="466" spans="1:26" ht="15" customHeight="1" x14ac:dyDescent="0.25">
      <c r="A466" s="183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183"/>
      <c r="O466" s="183"/>
      <c r="P466" s="183"/>
      <c r="Q466" s="183"/>
      <c r="R466" s="183"/>
      <c r="S466" s="183"/>
      <c r="T466" s="183"/>
      <c r="U466" s="183"/>
      <c r="V466" s="183"/>
      <c r="W466" s="183"/>
      <c r="X466" s="183"/>
      <c r="Y466" s="183"/>
      <c r="Z466" s="183"/>
    </row>
    <row r="467" spans="1:26" ht="15" customHeight="1" x14ac:dyDescent="0.25">
      <c r="A467" s="183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183"/>
      <c r="O467" s="183"/>
      <c r="P467" s="183"/>
      <c r="Q467" s="183"/>
      <c r="R467" s="183"/>
      <c r="S467" s="183"/>
      <c r="T467" s="183"/>
      <c r="U467" s="183"/>
      <c r="V467" s="183"/>
      <c r="W467" s="183"/>
      <c r="X467" s="183"/>
      <c r="Y467" s="183"/>
      <c r="Z467" s="183"/>
    </row>
    <row r="468" spans="1:26" ht="15" customHeight="1" x14ac:dyDescent="0.25">
      <c r="A468" s="183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183"/>
      <c r="O468" s="183"/>
      <c r="P468" s="183"/>
      <c r="Q468" s="183"/>
      <c r="R468" s="183"/>
      <c r="S468" s="183"/>
      <c r="T468" s="183"/>
      <c r="U468" s="183"/>
      <c r="V468" s="183"/>
      <c r="W468" s="183"/>
      <c r="X468" s="183"/>
      <c r="Y468" s="183"/>
      <c r="Z468" s="183"/>
    </row>
    <row r="469" spans="1:26" ht="15" customHeight="1" x14ac:dyDescent="0.25">
      <c r="A469" s="183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183"/>
      <c r="O469" s="183"/>
      <c r="P469" s="183"/>
      <c r="Q469" s="183"/>
      <c r="R469" s="183"/>
      <c r="S469" s="183"/>
      <c r="T469" s="183"/>
      <c r="U469" s="183"/>
      <c r="V469" s="183"/>
      <c r="W469" s="183"/>
      <c r="X469" s="183"/>
      <c r="Y469" s="183"/>
      <c r="Z469" s="183"/>
    </row>
    <row r="470" spans="1:26" ht="15" customHeight="1" x14ac:dyDescent="0.25">
      <c r="A470" s="183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183"/>
      <c r="O470" s="183"/>
      <c r="P470" s="183"/>
      <c r="Q470" s="183"/>
      <c r="R470" s="183"/>
      <c r="S470" s="183"/>
      <c r="T470" s="183"/>
      <c r="U470" s="183"/>
      <c r="V470" s="183"/>
      <c r="W470" s="183"/>
      <c r="X470" s="183"/>
      <c r="Y470" s="183"/>
      <c r="Z470" s="183"/>
    </row>
    <row r="471" spans="1:26" ht="15" customHeight="1" x14ac:dyDescent="0.25">
      <c r="A471" s="183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183"/>
      <c r="O471" s="183"/>
      <c r="P471" s="183"/>
      <c r="Q471" s="183"/>
      <c r="R471" s="183"/>
      <c r="S471" s="183"/>
      <c r="T471" s="183"/>
      <c r="U471" s="183"/>
      <c r="V471" s="183"/>
      <c r="W471" s="183"/>
      <c r="X471" s="183"/>
      <c r="Y471" s="183"/>
      <c r="Z471" s="183"/>
    </row>
    <row r="472" spans="1:26" ht="15" customHeight="1" x14ac:dyDescent="0.25">
      <c r="A472" s="183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183"/>
      <c r="O472" s="183"/>
      <c r="P472" s="183"/>
      <c r="Q472" s="183"/>
      <c r="R472" s="183"/>
      <c r="S472" s="183"/>
      <c r="T472" s="183"/>
      <c r="U472" s="183"/>
      <c r="V472" s="183"/>
      <c r="W472" s="183"/>
      <c r="X472" s="183"/>
      <c r="Y472" s="183"/>
      <c r="Z472" s="183"/>
    </row>
    <row r="473" spans="1:26" ht="15" customHeight="1" x14ac:dyDescent="0.25">
      <c r="A473" s="183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83"/>
      <c r="O473" s="183"/>
      <c r="P473" s="183"/>
      <c r="Q473" s="183"/>
      <c r="R473" s="183"/>
      <c r="S473" s="183"/>
      <c r="T473" s="183"/>
      <c r="U473" s="183"/>
      <c r="V473" s="183"/>
      <c r="W473" s="183"/>
      <c r="X473" s="183"/>
      <c r="Y473" s="183"/>
      <c r="Z473" s="183"/>
    </row>
    <row r="474" spans="1:26" ht="15" customHeight="1" x14ac:dyDescent="0.25">
      <c r="A474" s="183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83"/>
      <c r="O474" s="183"/>
      <c r="P474" s="183"/>
      <c r="Q474" s="183"/>
      <c r="R474" s="183"/>
      <c r="S474" s="183"/>
      <c r="T474" s="183"/>
      <c r="U474" s="183"/>
      <c r="V474" s="183"/>
      <c r="W474" s="183"/>
      <c r="X474" s="183"/>
      <c r="Y474" s="183"/>
      <c r="Z474" s="183"/>
    </row>
    <row r="475" spans="1:26" ht="15" customHeight="1" x14ac:dyDescent="0.25">
      <c r="A475" s="183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83"/>
      <c r="O475" s="183"/>
      <c r="P475" s="183"/>
      <c r="Q475" s="183"/>
      <c r="R475" s="183"/>
      <c r="S475" s="183"/>
      <c r="T475" s="183"/>
      <c r="U475" s="183"/>
      <c r="V475" s="183"/>
      <c r="W475" s="183"/>
      <c r="X475" s="183"/>
      <c r="Y475" s="183"/>
      <c r="Z475" s="183"/>
    </row>
    <row r="476" spans="1:26" ht="15" customHeight="1" x14ac:dyDescent="0.25">
      <c r="A476" s="183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183"/>
      <c r="O476" s="183"/>
      <c r="P476" s="183"/>
      <c r="Q476" s="183"/>
      <c r="R476" s="183"/>
      <c r="S476" s="183"/>
      <c r="T476" s="183"/>
      <c r="U476" s="183"/>
      <c r="V476" s="183"/>
      <c r="W476" s="183"/>
      <c r="X476" s="183"/>
      <c r="Y476" s="183"/>
      <c r="Z476" s="183"/>
    </row>
    <row r="477" spans="1:26" ht="15" customHeight="1" x14ac:dyDescent="0.25">
      <c r="A477" s="183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183"/>
      <c r="O477" s="183"/>
      <c r="P477" s="183"/>
      <c r="Q477" s="183"/>
      <c r="R477" s="183"/>
      <c r="S477" s="183"/>
      <c r="T477" s="183"/>
      <c r="U477" s="183"/>
      <c r="V477" s="183"/>
      <c r="W477" s="183"/>
      <c r="X477" s="183"/>
      <c r="Y477" s="183"/>
      <c r="Z477" s="183"/>
    </row>
    <row r="478" spans="1:26" ht="15" customHeight="1" x14ac:dyDescent="0.25">
      <c r="A478" s="183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83"/>
      <c r="O478" s="183"/>
      <c r="P478" s="183"/>
      <c r="Q478" s="183"/>
      <c r="R478" s="183"/>
      <c r="S478" s="183"/>
      <c r="T478" s="183"/>
      <c r="U478" s="183"/>
      <c r="V478" s="183"/>
      <c r="W478" s="183"/>
      <c r="X478" s="183"/>
      <c r="Y478" s="183"/>
      <c r="Z478" s="183"/>
    </row>
    <row r="479" spans="1:26" ht="15" customHeight="1" x14ac:dyDescent="0.25">
      <c r="A479" s="183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183"/>
      <c r="O479" s="183"/>
      <c r="P479" s="183"/>
      <c r="Q479" s="183"/>
      <c r="R479" s="183"/>
      <c r="S479" s="183"/>
      <c r="T479" s="183"/>
      <c r="U479" s="183"/>
      <c r="V479" s="183"/>
      <c r="W479" s="183"/>
      <c r="X479" s="183"/>
      <c r="Y479" s="183"/>
      <c r="Z479" s="183"/>
    </row>
    <row r="480" spans="1:26" ht="15" customHeight="1" x14ac:dyDescent="0.25">
      <c r="A480" s="183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83"/>
      <c r="O480" s="183"/>
      <c r="P480" s="183"/>
      <c r="Q480" s="183"/>
      <c r="R480" s="183"/>
      <c r="S480" s="183"/>
      <c r="T480" s="183"/>
      <c r="U480" s="183"/>
      <c r="V480" s="183"/>
      <c r="W480" s="183"/>
      <c r="X480" s="183"/>
      <c r="Y480" s="183"/>
      <c r="Z480" s="183"/>
    </row>
    <row r="481" spans="1:26" ht="15" customHeight="1" x14ac:dyDescent="0.25">
      <c r="A481" s="183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83"/>
      <c r="O481" s="183"/>
      <c r="P481" s="183"/>
      <c r="Q481" s="183"/>
      <c r="R481" s="183"/>
      <c r="S481" s="183"/>
      <c r="T481" s="183"/>
      <c r="U481" s="183"/>
      <c r="V481" s="183"/>
      <c r="W481" s="183"/>
      <c r="X481" s="183"/>
      <c r="Y481" s="183"/>
      <c r="Z481" s="183"/>
    </row>
    <row r="482" spans="1:26" ht="15" customHeight="1" x14ac:dyDescent="0.25">
      <c r="A482" s="183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83"/>
      <c r="O482" s="183"/>
      <c r="P482" s="183"/>
      <c r="Q482" s="183"/>
      <c r="R482" s="183"/>
      <c r="S482" s="183"/>
      <c r="T482" s="183"/>
      <c r="U482" s="183"/>
      <c r="V482" s="183"/>
      <c r="W482" s="183"/>
      <c r="X482" s="183"/>
      <c r="Y482" s="183"/>
      <c r="Z482" s="183"/>
    </row>
    <row r="483" spans="1:26" ht="15" customHeight="1" x14ac:dyDescent="0.25">
      <c r="A483" s="183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183"/>
      <c r="O483" s="183"/>
      <c r="P483" s="183"/>
      <c r="Q483" s="183"/>
      <c r="R483" s="183"/>
      <c r="S483" s="183"/>
      <c r="T483" s="183"/>
      <c r="U483" s="183"/>
      <c r="V483" s="183"/>
      <c r="W483" s="183"/>
      <c r="X483" s="183"/>
      <c r="Y483" s="183"/>
      <c r="Z483" s="183"/>
    </row>
    <row r="484" spans="1:26" ht="15" customHeight="1" x14ac:dyDescent="0.25">
      <c r="A484" s="183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183"/>
      <c r="O484" s="183"/>
      <c r="P484" s="183"/>
      <c r="Q484" s="183"/>
      <c r="R484" s="183"/>
      <c r="S484" s="183"/>
      <c r="T484" s="183"/>
      <c r="U484" s="183"/>
      <c r="V484" s="183"/>
      <c r="W484" s="183"/>
      <c r="X484" s="183"/>
      <c r="Y484" s="183"/>
      <c r="Z484" s="183"/>
    </row>
    <row r="485" spans="1:26" ht="15" customHeight="1" x14ac:dyDescent="0.25">
      <c r="A485" s="183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183"/>
      <c r="O485" s="183"/>
      <c r="P485" s="183"/>
      <c r="Q485" s="183"/>
      <c r="R485" s="183"/>
      <c r="S485" s="183"/>
      <c r="T485" s="183"/>
      <c r="U485" s="183"/>
      <c r="V485" s="183"/>
      <c r="W485" s="183"/>
      <c r="X485" s="183"/>
      <c r="Y485" s="183"/>
      <c r="Z485" s="183"/>
    </row>
    <row r="486" spans="1:26" ht="15" customHeight="1" x14ac:dyDescent="0.25">
      <c r="A486" s="183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183"/>
      <c r="R486" s="183"/>
      <c r="S486" s="183"/>
      <c r="T486" s="183"/>
      <c r="U486" s="183"/>
      <c r="V486" s="183"/>
      <c r="W486" s="183"/>
      <c r="X486" s="183"/>
      <c r="Y486" s="183"/>
      <c r="Z486" s="183"/>
    </row>
    <row r="487" spans="1:26" ht="15" customHeight="1" x14ac:dyDescent="0.25">
      <c r="A487" s="183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183"/>
      <c r="O487" s="183"/>
      <c r="P487" s="183"/>
      <c r="Q487" s="183"/>
      <c r="R487" s="183"/>
      <c r="S487" s="183"/>
      <c r="T487" s="183"/>
      <c r="U487" s="183"/>
      <c r="V487" s="183"/>
      <c r="W487" s="183"/>
      <c r="X487" s="183"/>
      <c r="Y487" s="183"/>
      <c r="Z487" s="183"/>
    </row>
    <row r="488" spans="1:26" ht="15" customHeight="1" x14ac:dyDescent="0.25">
      <c r="A488" s="183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183"/>
      <c r="O488" s="183"/>
      <c r="P488" s="183"/>
      <c r="Q488" s="183"/>
      <c r="R488" s="183"/>
      <c r="S488" s="183"/>
      <c r="T488" s="183"/>
      <c r="U488" s="183"/>
      <c r="V488" s="183"/>
      <c r="W488" s="183"/>
      <c r="X488" s="183"/>
      <c r="Y488" s="183"/>
      <c r="Z488" s="183"/>
    </row>
    <row r="489" spans="1:26" ht="15" customHeight="1" x14ac:dyDescent="0.25">
      <c r="A489" s="183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183"/>
      <c r="O489" s="183"/>
      <c r="P489" s="183"/>
      <c r="Q489" s="183"/>
      <c r="R489" s="183"/>
      <c r="S489" s="183"/>
      <c r="T489" s="183"/>
      <c r="U489" s="183"/>
      <c r="V489" s="183"/>
      <c r="W489" s="183"/>
      <c r="X489" s="183"/>
      <c r="Y489" s="183"/>
      <c r="Z489" s="183"/>
    </row>
    <row r="490" spans="1:26" ht="15" customHeight="1" x14ac:dyDescent="0.25">
      <c r="A490" s="183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183"/>
      <c r="O490" s="183"/>
      <c r="P490" s="183"/>
      <c r="Q490" s="183"/>
      <c r="R490" s="183"/>
      <c r="S490" s="183"/>
      <c r="T490" s="183"/>
      <c r="U490" s="183"/>
      <c r="V490" s="183"/>
      <c r="W490" s="183"/>
      <c r="X490" s="183"/>
      <c r="Y490" s="183"/>
      <c r="Z490" s="183"/>
    </row>
    <row r="491" spans="1:26" ht="15" customHeight="1" x14ac:dyDescent="0.25">
      <c r="A491" s="183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83"/>
      <c r="R491" s="183"/>
      <c r="S491" s="183"/>
      <c r="T491" s="183"/>
      <c r="U491" s="183"/>
      <c r="V491" s="183"/>
      <c r="W491" s="183"/>
      <c r="X491" s="183"/>
      <c r="Y491" s="183"/>
      <c r="Z491" s="183"/>
    </row>
    <row r="492" spans="1:26" ht="15" customHeight="1" x14ac:dyDescent="0.25">
      <c r="A492" s="183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183"/>
      <c r="O492" s="183"/>
      <c r="P492" s="183"/>
      <c r="Q492" s="183"/>
      <c r="R492" s="183"/>
      <c r="S492" s="183"/>
      <c r="T492" s="183"/>
      <c r="U492" s="183"/>
      <c r="V492" s="183"/>
      <c r="W492" s="183"/>
      <c r="X492" s="183"/>
      <c r="Y492" s="183"/>
      <c r="Z492" s="183"/>
    </row>
    <row r="493" spans="1:26" ht="15" customHeight="1" x14ac:dyDescent="0.25">
      <c r="A493" s="183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183"/>
      <c r="O493" s="183"/>
      <c r="P493" s="183"/>
      <c r="Q493" s="183"/>
      <c r="R493" s="183"/>
      <c r="S493" s="183"/>
      <c r="T493" s="183"/>
      <c r="U493" s="183"/>
      <c r="V493" s="183"/>
      <c r="W493" s="183"/>
      <c r="X493" s="183"/>
      <c r="Y493" s="183"/>
      <c r="Z493" s="183"/>
    </row>
    <row r="494" spans="1:26" ht="15" customHeight="1" x14ac:dyDescent="0.25">
      <c r="A494" s="183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183"/>
      <c r="O494" s="183"/>
      <c r="P494" s="183"/>
      <c r="Q494" s="183"/>
      <c r="R494" s="183"/>
      <c r="S494" s="183"/>
      <c r="T494" s="183"/>
      <c r="U494" s="183"/>
      <c r="V494" s="183"/>
      <c r="W494" s="183"/>
      <c r="X494" s="183"/>
      <c r="Y494" s="183"/>
      <c r="Z494" s="183"/>
    </row>
    <row r="495" spans="1:26" ht="15" customHeight="1" x14ac:dyDescent="0.25">
      <c r="A495" s="183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183"/>
      <c r="O495" s="183"/>
      <c r="P495" s="183"/>
      <c r="Q495" s="183"/>
      <c r="R495" s="183"/>
      <c r="S495" s="183"/>
      <c r="T495" s="183"/>
      <c r="U495" s="183"/>
      <c r="V495" s="183"/>
      <c r="W495" s="183"/>
      <c r="X495" s="183"/>
      <c r="Y495" s="183"/>
      <c r="Z495" s="183"/>
    </row>
    <row r="496" spans="1:26" ht="15" customHeight="1" x14ac:dyDescent="0.25">
      <c r="A496" s="183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183"/>
      <c r="O496" s="183"/>
      <c r="P496" s="183"/>
      <c r="Q496" s="183"/>
      <c r="R496" s="183"/>
      <c r="S496" s="183"/>
      <c r="T496" s="183"/>
      <c r="U496" s="183"/>
      <c r="V496" s="183"/>
      <c r="W496" s="183"/>
      <c r="X496" s="183"/>
      <c r="Y496" s="183"/>
      <c r="Z496" s="183"/>
    </row>
    <row r="497" spans="1:26" ht="15" customHeight="1" x14ac:dyDescent="0.25">
      <c r="A497" s="183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83"/>
      <c r="O497" s="183"/>
      <c r="P497" s="183"/>
      <c r="Q497" s="183"/>
      <c r="R497" s="183"/>
      <c r="S497" s="183"/>
      <c r="T497" s="183"/>
      <c r="U497" s="183"/>
      <c r="V497" s="183"/>
      <c r="W497" s="183"/>
      <c r="X497" s="183"/>
      <c r="Y497" s="183"/>
      <c r="Z497" s="183"/>
    </row>
    <row r="498" spans="1:26" ht="15" customHeight="1" x14ac:dyDescent="0.25">
      <c r="A498" s="183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183"/>
      <c r="O498" s="183"/>
      <c r="P498" s="183"/>
      <c r="Q498" s="183"/>
      <c r="R498" s="183"/>
      <c r="S498" s="183"/>
      <c r="T498" s="183"/>
      <c r="U498" s="183"/>
      <c r="V498" s="183"/>
      <c r="W498" s="183"/>
      <c r="X498" s="183"/>
      <c r="Y498" s="183"/>
      <c r="Z498" s="183"/>
    </row>
    <row r="499" spans="1:26" ht="15" customHeight="1" x14ac:dyDescent="0.25">
      <c r="A499" s="183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183"/>
      <c r="O499" s="183"/>
      <c r="P499" s="183"/>
      <c r="Q499" s="183"/>
      <c r="R499" s="183"/>
      <c r="S499" s="183"/>
      <c r="T499" s="183"/>
      <c r="U499" s="183"/>
      <c r="V499" s="183"/>
      <c r="W499" s="183"/>
      <c r="X499" s="183"/>
      <c r="Y499" s="183"/>
      <c r="Z499" s="183"/>
    </row>
    <row r="500" spans="1:26" ht="15" customHeight="1" x14ac:dyDescent="0.25">
      <c r="A500" s="183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83"/>
      <c r="O500" s="183"/>
      <c r="P500" s="183"/>
      <c r="Q500" s="183"/>
      <c r="R500" s="183"/>
      <c r="S500" s="183"/>
      <c r="T500" s="183"/>
      <c r="U500" s="183"/>
      <c r="V500" s="183"/>
      <c r="W500" s="183"/>
      <c r="X500" s="183"/>
      <c r="Y500" s="183"/>
      <c r="Z500" s="183"/>
    </row>
    <row r="501" spans="1:26" ht="15" customHeight="1" x14ac:dyDescent="0.25">
      <c r="A501" s="183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83"/>
      <c r="O501" s="183"/>
      <c r="P501" s="183"/>
      <c r="Q501" s="183"/>
      <c r="R501" s="183"/>
      <c r="S501" s="183"/>
      <c r="T501" s="183"/>
      <c r="U501" s="183"/>
      <c r="V501" s="183"/>
      <c r="W501" s="183"/>
      <c r="X501" s="183"/>
      <c r="Y501" s="183"/>
      <c r="Z501" s="183"/>
    </row>
    <row r="502" spans="1:26" ht="15" customHeight="1" x14ac:dyDescent="0.25">
      <c r="A502" s="183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83"/>
      <c r="O502" s="183"/>
      <c r="P502" s="183"/>
      <c r="Q502" s="183"/>
      <c r="R502" s="183"/>
      <c r="S502" s="183"/>
      <c r="T502" s="183"/>
      <c r="U502" s="183"/>
      <c r="V502" s="183"/>
      <c r="W502" s="183"/>
      <c r="X502" s="183"/>
      <c r="Y502" s="183"/>
      <c r="Z502" s="183"/>
    </row>
    <row r="503" spans="1:26" ht="15" customHeight="1" x14ac:dyDescent="0.25">
      <c r="A503" s="183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183"/>
      <c r="O503" s="183"/>
      <c r="P503" s="183"/>
      <c r="Q503" s="183"/>
      <c r="R503" s="183"/>
      <c r="S503" s="183"/>
      <c r="T503" s="183"/>
      <c r="U503" s="183"/>
      <c r="V503" s="183"/>
      <c r="W503" s="183"/>
      <c r="X503" s="183"/>
      <c r="Y503" s="183"/>
      <c r="Z503" s="183"/>
    </row>
    <row r="504" spans="1:26" ht="15" customHeight="1" x14ac:dyDescent="0.25">
      <c r="A504" s="183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83"/>
      <c r="O504" s="183"/>
      <c r="P504" s="183"/>
      <c r="Q504" s="183"/>
      <c r="R504" s="183"/>
      <c r="S504" s="183"/>
      <c r="T504" s="183"/>
      <c r="U504" s="183"/>
      <c r="V504" s="183"/>
      <c r="W504" s="183"/>
      <c r="X504" s="183"/>
      <c r="Y504" s="183"/>
      <c r="Z504" s="183"/>
    </row>
    <row r="505" spans="1:26" ht="15" customHeight="1" x14ac:dyDescent="0.25">
      <c r="A505" s="183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183"/>
      <c r="O505" s="183"/>
      <c r="P505" s="183"/>
      <c r="Q505" s="183"/>
      <c r="R505" s="183"/>
      <c r="S505" s="183"/>
      <c r="T505" s="183"/>
      <c r="U505" s="183"/>
      <c r="V505" s="183"/>
      <c r="W505" s="183"/>
      <c r="X505" s="183"/>
      <c r="Y505" s="183"/>
      <c r="Z505" s="183"/>
    </row>
    <row r="506" spans="1:26" ht="15" customHeight="1" x14ac:dyDescent="0.25">
      <c r="A506" s="183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83"/>
      <c r="O506" s="183"/>
      <c r="P506" s="183"/>
      <c r="Q506" s="183"/>
      <c r="R506" s="183"/>
      <c r="S506" s="183"/>
      <c r="T506" s="183"/>
      <c r="U506" s="183"/>
      <c r="V506" s="183"/>
      <c r="W506" s="183"/>
      <c r="X506" s="183"/>
      <c r="Y506" s="183"/>
      <c r="Z506" s="183"/>
    </row>
    <row r="507" spans="1:26" ht="15" customHeight="1" x14ac:dyDescent="0.25">
      <c r="A507" s="183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183"/>
      <c r="O507" s="183"/>
      <c r="P507" s="183"/>
      <c r="Q507" s="183"/>
      <c r="R507" s="183"/>
      <c r="S507" s="183"/>
      <c r="T507" s="183"/>
      <c r="U507" s="183"/>
      <c r="V507" s="183"/>
      <c r="W507" s="183"/>
      <c r="X507" s="183"/>
      <c r="Y507" s="183"/>
      <c r="Z507" s="183"/>
    </row>
    <row r="508" spans="1:26" ht="15" customHeight="1" x14ac:dyDescent="0.25">
      <c r="A508" s="183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83"/>
      <c r="O508" s="183"/>
      <c r="P508" s="183"/>
      <c r="Q508" s="183"/>
      <c r="R508" s="183"/>
      <c r="S508" s="183"/>
      <c r="T508" s="183"/>
      <c r="U508" s="183"/>
      <c r="V508" s="183"/>
      <c r="W508" s="183"/>
      <c r="X508" s="183"/>
      <c r="Y508" s="183"/>
      <c r="Z508" s="183"/>
    </row>
    <row r="509" spans="1:26" ht="15" customHeight="1" x14ac:dyDescent="0.25">
      <c r="A509" s="183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183"/>
      <c r="O509" s="183"/>
      <c r="P509" s="183"/>
      <c r="Q509" s="183"/>
      <c r="R509" s="183"/>
      <c r="S509" s="183"/>
      <c r="T509" s="183"/>
      <c r="U509" s="183"/>
      <c r="V509" s="183"/>
      <c r="W509" s="183"/>
      <c r="X509" s="183"/>
      <c r="Y509" s="183"/>
      <c r="Z509" s="183"/>
    </row>
    <row r="510" spans="1:26" ht="15" customHeight="1" x14ac:dyDescent="0.25">
      <c r="A510" s="183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183"/>
      <c r="O510" s="183"/>
      <c r="P510" s="183"/>
      <c r="Q510" s="183"/>
      <c r="R510" s="183"/>
      <c r="S510" s="183"/>
      <c r="T510" s="183"/>
      <c r="U510" s="183"/>
      <c r="V510" s="183"/>
      <c r="W510" s="183"/>
      <c r="X510" s="183"/>
      <c r="Y510" s="183"/>
      <c r="Z510" s="183"/>
    </row>
    <row r="511" spans="1:26" ht="15" customHeight="1" x14ac:dyDescent="0.25">
      <c r="A511" s="183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183"/>
      <c r="O511" s="183"/>
      <c r="P511" s="183"/>
      <c r="Q511" s="183"/>
      <c r="R511" s="183"/>
      <c r="S511" s="183"/>
      <c r="T511" s="183"/>
      <c r="U511" s="183"/>
      <c r="V511" s="183"/>
      <c r="W511" s="183"/>
      <c r="X511" s="183"/>
      <c r="Y511" s="183"/>
      <c r="Z511" s="183"/>
    </row>
    <row r="512" spans="1:26" ht="15" customHeight="1" x14ac:dyDescent="0.25">
      <c r="A512" s="183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183"/>
      <c r="O512" s="183"/>
      <c r="P512" s="183"/>
      <c r="Q512" s="183"/>
      <c r="R512" s="183"/>
      <c r="S512" s="183"/>
      <c r="T512" s="183"/>
      <c r="U512" s="183"/>
      <c r="V512" s="183"/>
      <c r="W512" s="183"/>
      <c r="X512" s="183"/>
      <c r="Y512" s="183"/>
      <c r="Z512" s="183"/>
    </row>
    <row r="513" spans="1:26" ht="15" customHeight="1" x14ac:dyDescent="0.25">
      <c r="A513" s="183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183"/>
      <c r="O513" s="183"/>
      <c r="P513" s="183"/>
      <c r="Q513" s="183"/>
      <c r="R513" s="183"/>
      <c r="S513" s="183"/>
      <c r="T513" s="183"/>
      <c r="U513" s="183"/>
      <c r="V513" s="183"/>
      <c r="W513" s="183"/>
      <c r="X513" s="183"/>
      <c r="Y513" s="183"/>
      <c r="Z513" s="183"/>
    </row>
    <row r="514" spans="1:26" ht="15" customHeight="1" x14ac:dyDescent="0.25">
      <c r="A514" s="183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183"/>
      <c r="O514" s="183"/>
      <c r="P514" s="183"/>
      <c r="Q514" s="183"/>
      <c r="R514" s="183"/>
      <c r="S514" s="183"/>
      <c r="T514" s="183"/>
      <c r="U514" s="183"/>
      <c r="V514" s="183"/>
      <c r="W514" s="183"/>
      <c r="X514" s="183"/>
      <c r="Y514" s="183"/>
      <c r="Z514" s="183"/>
    </row>
    <row r="515" spans="1:26" ht="15" customHeight="1" x14ac:dyDescent="0.25">
      <c r="A515" s="183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183"/>
      <c r="O515" s="183"/>
      <c r="P515" s="183"/>
      <c r="Q515" s="183"/>
      <c r="R515" s="183"/>
      <c r="S515" s="183"/>
      <c r="T515" s="183"/>
      <c r="U515" s="183"/>
      <c r="V515" s="183"/>
      <c r="W515" s="183"/>
      <c r="X515" s="183"/>
      <c r="Y515" s="183"/>
      <c r="Z515" s="183"/>
    </row>
    <row r="516" spans="1:26" ht="15" customHeight="1" x14ac:dyDescent="0.25">
      <c r="A516" s="183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83"/>
      <c r="O516" s="183"/>
      <c r="P516" s="183"/>
      <c r="Q516" s="183"/>
      <c r="R516" s="183"/>
      <c r="S516" s="183"/>
      <c r="T516" s="183"/>
      <c r="U516" s="183"/>
      <c r="V516" s="183"/>
      <c r="W516" s="183"/>
      <c r="X516" s="183"/>
      <c r="Y516" s="183"/>
      <c r="Z516" s="183"/>
    </row>
    <row r="517" spans="1:26" ht="15" customHeight="1" x14ac:dyDescent="0.25">
      <c r="A517" s="183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183"/>
      <c r="O517" s="183"/>
      <c r="P517" s="183"/>
      <c r="Q517" s="183"/>
      <c r="R517" s="183"/>
      <c r="S517" s="183"/>
      <c r="T517" s="183"/>
      <c r="U517" s="183"/>
      <c r="V517" s="183"/>
      <c r="W517" s="183"/>
      <c r="X517" s="183"/>
      <c r="Y517" s="183"/>
      <c r="Z517" s="183"/>
    </row>
    <row r="518" spans="1:26" ht="15" customHeight="1" x14ac:dyDescent="0.25">
      <c r="A518" s="183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183"/>
      <c r="O518" s="183"/>
      <c r="P518" s="183"/>
      <c r="Q518" s="183"/>
      <c r="R518" s="183"/>
      <c r="S518" s="183"/>
      <c r="T518" s="183"/>
      <c r="U518" s="183"/>
      <c r="V518" s="183"/>
      <c r="W518" s="183"/>
      <c r="X518" s="183"/>
      <c r="Y518" s="183"/>
      <c r="Z518" s="183"/>
    </row>
    <row r="519" spans="1:26" ht="15" customHeight="1" x14ac:dyDescent="0.25">
      <c r="A519" s="183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83"/>
      <c r="O519" s="183"/>
      <c r="P519" s="183"/>
      <c r="Q519" s="183"/>
      <c r="R519" s="183"/>
      <c r="S519" s="183"/>
      <c r="T519" s="183"/>
      <c r="U519" s="183"/>
      <c r="V519" s="183"/>
      <c r="W519" s="183"/>
      <c r="X519" s="183"/>
      <c r="Y519" s="183"/>
      <c r="Z519" s="183"/>
    </row>
    <row r="520" spans="1:26" ht="15" customHeight="1" x14ac:dyDescent="0.25">
      <c r="A520" s="183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183"/>
      <c r="O520" s="183"/>
      <c r="P520" s="183"/>
      <c r="Q520" s="183"/>
      <c r="R520" s="183"/>
      <c r="S520" s="183"/>
      <c r="T520" s="183"/>
      <c r="U520" s="183"/>
      <c r="V520" s="183"/>
      <c r="W520" s="183"/>
      <c r="X520" s="183"/>
      <c r="Y520" s="183"/>
      <c r="Z520" s="183"/>
    </row>
    <row r="521" spans="1:26" ht="15" customHeight="1" x14ac:dyDescent="0.25">
      <c r="A521" s="183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183"/>
      <c r="O521" s="183"/>
      <c r="P521" s="183"/>
      <c r="Q521" s="183"/>
      <c r="R521" s="183"/>
      <c r="S521" s="183"/>
      <c r="T521" s="183"/>
      <c r="U521" s="183"/>
      <c r="V521" s="183"/>
      <c r="W521" s="183"/>
      <c r="X521" s="183"/>
      <c r="Y521" s="183"/>
      <c r="Z521" s="183"/>
    </row>
    <row r="522" spans="1:26" ht="15" customHeight="1" x14ac:dyDescent="0.25">
      <c r="A522" s="183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183"/>
      <c r="O522" s="183"/>
      <c r="P522" s="183"/>
      <c r="Q522" s="183"/>
      <c r="R522" s="183"/>
      <c r="S522" s="183"/>
      <c r="T522" s="183"/>
      <c r="U522" s="183"/>
      <c r="V522" s="183"/>
      <c r="W522" s="183"/>
      <c r="X522" s="183"/>
      <c r="Y522" s="183"/>
      <c r="Z522" s="183"/>
    </row>
    <row r="523" spans="1:26" ht="15" customHeight="1" x14ac:dyDescent="0.25">
      <c r="A523" s="183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183"/>
      <c r="O523" s="183"/>
      <c r="P523" s="183"/>
      <c r="Q523" s="183"/>
      <c r="R523" s="183"/>
      <c r="S523" s="183"/>
      <c r="T523" s="183"/>
      <c r="U523" s="183"/>
      <c r="V523" s="183"/>
      <c r="W523" s="183"/>
      <c r="X523" s="183"/>
      <c r="Y523" s="183"/>
      <c r="Z523" s="183"/>
    </row>
    <row r="524" spans="1:26" ht="15" customHeight="1" x14ac:dyDescent="0.25">
      <c r="A524" s="183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183"/>
      <c r="O524" s="183"/>
      <c r="P524" s="183"/>
      <c r="Q524" s="183"/>
      <c r="R524" s="183"/>
      <c r="S524" s="183"/>
      <c r="T524" s="183"/>
      <c r="U524" s="183"/>
      <c r="V524" s="183"/>
      <c r="W524" s="183"/>
      <c r="X524" s="183"/>
      <c r="Y524" s="183"/>
      <c r="Z524" s="183"/>
    </row>
    <row r="525" spans="1:26" ht="15" customHeight="1" x14ac:dyDescent="0.25">
      <c r="A525" s="183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183"/>
      <c r="O525" s="183"/>
      <c r="P525" s="183"/>
      <c r="Q525" s="183"/>
      <c r="R525" s="183"/>
      <c r="S525" s="183"/>
      <c r="T525" s="183"/>
      <c r="U525" s="183"/>
      <c r="V525" s="183"/>
      <c r="W525" s="183"/>
      <c r="X525" s="183"/>
      <c r="Y525" s="183"/>
      <c r="Z525" s="183"/>
    </row>
    <row r="526" spans="1:26" ht="15" customHeight="1" x14ac:dyDescent="0.25">
      <c r="A526" s="183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R526" s="183"/>
      <c r="S526" s="183"/>
      <c r="T526" s="183"/>
      <c r="U526" s="183"/>
      <c r="V526" s="183"/>
      <c r="W526" s="183"/>
      <c r="X526" s="183"/>
      <c r="Y526" s="183"/>
      <c r="Z526" s="183"/>
    </row>
    <row r="527" spans="1:26" ht="15" customHeight="1" x14ac:dyDescent="0.25">
      <c r="A527" s="183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R527" s="183"/>
      <c r="S527" s="183"/>
      <c r="T527" s="183"/>
      <c r="U527" s="183"/>
      <c r="V527" s="183"/>
      <c r="W527" s="183"/>
      <c r="X527" s="183"/>
      <c r="Y527" s="183"/>
      <c r="Z527" s="183"/>
    </row>
    <row r="528" spans="1:26" ht="15" customHeight="1" x14ac:dyDescent="0.25">
      <c r="A528" s="183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R528" s="183"/>
      <c r="S528" s="183"/>
      <c r="T528" s="183"/>
      <c r="U528" s="183"/>
      <c r="V528" s="183"/>
      <c r="W528" s="183"/>
      <c r="X528" s="183"/>
      <c r="Y528" s="183"/>
      <c r="Z528" s="183"/>
    </row>
    <row r="529" spans="1:26" ht="15" customHeight="1" x14ac:dyDescent="0.25">
      <c r="A529" s="183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183"/>
      <c r="O529" s="183"/>
      <c r="P529" s="183"/>
      <c r="Q529" s="183"/>
      <c r="R529" s="183"/>
      <c r="S529" s="183"/>
      <c r="T529" s="183"/>
      <c r="U529" s="183"/>
      <c r="V529" s="183"/>
      <c r="W529" s="183"/>
      <c r="X529" s="183"/>
      <c r="Y529" s="183"/>
      <c r="Z529" s="183"/>
    </row>
    <row r="530" spans="1:26" ht="15" customHeight="1" x14ac:dyDescent="0.25">
      <c r="A530" s="183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183"/>
      <c r="O530" s="183"/>
      <c r="P530" s="183"/>
      <c r="Q530" s="183"/>
      <c r="R530" s="183"/>
      <c r="S530" s="183"/>
      <c r="T530" s="183"/>
      <c r="U530" s="183"/>
      <c r="V530" s="183"/>
      <c r="W530" s="183"/>
      <c r="X530" s="183"/>
      <c r="Y530" s="183"/>
      <c r="Z530" s="183"/>
    </row>
    <row r="531" spans="1:26" ht="15" customHeight="1" x14ac:dyDescent="0.25">
      <c r="A531" s="183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83"/>
      <c r="O531" s="183"/>
      <c r="P531" s="183"/>
      <c r="Q531" s="183"/>
      <c r="R531" s="183"/>
      <c r="S531" s="183"/>
      <c r="T531" s="183"/>
      <c r="U531" s="183"/>
      <c r="V531" s="183"/>
      <c r="W531" s="183"/>
      <c r="X531" s="183"/>
      <c r="Y531" s="183"/>
      <c r="Z531" s="183"/>
    </row>
    <row r="532" spans="1:26" ht="15" customHeight="1" x14ac:dyDescent="0.25">
      <c r="A532" s="183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183"/>
      <c r="O532" s="183"/>
      <c r="P532" s="183"/>
      <c r="Q532" s="183"/>
      <c r="R532" s="183"/>
      <c r="S532" s="183"/>
      <c r="T532" s="183"/>
      <c r="U532" s="183"/>
      <c r="V532" s="183"/>
      <c r="W532" s="183"/>
      <c r="X532" s="183"/>
      <c r="Y532" s="183"/>
      <c r="Z532" s="183"/>
    </row>
    <row r="533" spans="1:26" ht="15" customHeight="1" x14ac:dyDescent="0.25">
      <c r="A533" s="183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83"/>
      <c r="O533" s="183"/>
      <c r="P533" s="183"/>
      <c r="Q533" s="183"/>
      <c r="R533" s="183"/>
      <c r="S533" s="183"/>
      <c r="T533" s="183"/>
      <c r="U533" s="183"/>
      <c r="V533" s="183"/>
      <c r="W533" s="183"/>
      <c r="X533" s="183"/>
      <c r="Y533" s="183"/>
      <c r="Z533" s="183"/>
    </row>
    <row r="534" spans="1:26" ht="15" customHeight="1" x14ac:dyDescent="0.25">
      <c r="A534" s="183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83"/>
      <c r="O534" s="183"/>
      <c r="P534" s="183"/>
      <c r="Q534" s="183"/>
      <c r="R534" s="183"/>
      <c r="S534" s="183"/>
      <c r="T534" s="183"/>
      <c r="U534" s="183"/>
      <c r="V534" s="183"/>
      <c r="W534" s="183"/>
      <c r="X534" s="183"/>
      <c r="Y534" s="183"/>
      <c r="Z534" s="183"/>
    </row>
    <row r="535" spans="1:26" ht="15" customHeight="1" x14ac:dyDescent="0.25">
      <c r="A535" s="183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83"/>
      <c r="O535" s="183"/>
      <c r="P535" s="183"/>
      <c r="Q535" s="183"/>
      <c r="R535" s="183"/>
      <c r="S535" s="183"/>
      <c r="T535" s="183"/>
      <c r="U535" s="183"/>
      <c r="V535" s="183"/>
      <c r="W535" s="183"/>
      <c r="X535" s="183"/>
      <c r="Y535" s="183"/>
      <c r="Z535" s="183"/>
    </row>
    <row r="536" spans="1:26" ht="15" customHeight="1" x14ac:dyDescent="0.25">
      <c r="A536" s="183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183"/>
      <c r="O536" s="183"/>
      <c r="P536" s="183"/>
      <c r="Q536" s="183"/>
      <c r="R536" s="183"/>
      <c r="S536" s="183"/>
      <c r="T536" s="183"/>
      <c r="U536" s="183"/>
      <c r="V536" s="183"/>
      <c r="W536" s="183"/>
      <c r="X536" s="183"/>
      <c r="Y536" s="183"/>
      <c r="Z536" s="183"/>
    </row>
    <row r="537" spans="1:26" ht="15" customHeight="1" x14ac:dyDescent="0.25">
      <c r="A537" s="183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183"/>
      <c r="O537" s="183"/>
      <c r="P537" s="183"/>
      <c r="Q537" s="183"/>
      <c r="R537" s="183"/>
      <c r="S537" s="183"/>
      <c r="T537" s="183"/>
      <c r="U537" s="183"/>
      <c r="V537" s="183"/>
      <c r="W537" s="183"/>
      <c r="X537" s="183"/>
      <c r="Y537" s="183"/>
      <c r="Z537" s="183"/>
    </row>
    <row r="538" spans="1:26" ht="15" customHeight="1" x14ac:dyDescent="0.25">
      <c r="A538" s="183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83"/>
      <c r="O538" s="183"/>
      <c r="P538" s="183"/>
      <c r="Q538" s="183"/>
      <c r="R538" s="183"/>
      <c r="S538" s="183"/>
      <c r="T538" s="183"/>
      <c r="U538" s="183"/>
      <c r="V538" s="183"/>
      <c r="W538" s="183"/>
      <c r="X538" s="183"/>
      <c r="Y538" s="183"/>
      <c r="Z538" s="183"/>
    </row>
    <row r="539" spans="1:26" ht="15" customHeight="1" x14ac:dyDescent="0.25">
      <c r="A539" s="183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183"/>
      <c r="O539" s="183"/>
      <c r="P539" s="183"/>
      <c r="Q539" s="183"/>
      <c r="R539" s="183"/>
      <c r="S539" s="183"/>
      <c r="T539" s="183"/>
      <c r="U539" s="183"/>
      <c r="V539" s="183"/>
      <c r="W539" s="183"/>
      <c r="X539" s="183"/>
      <c r="Y539" s="183"/>
      <c r="Z539" s="183"/>
    </row>
    <row r="540" spans="1:26" ht="15" customHeight="1" x14ac:dyDescent="0.25">
      <c r="A540" s="183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183"/>
      <c r="O540" s="183"/>
      <c r="P540" s="183"/>
      <c r="Q540" s="183"/>
      <c r="R540" s="183"/>
      <c r="S540" s="183"/>
      <c r="T540" s="183"/>
      <c r="U540" s="183"/>
      <c r="V540" s="183"/>
      <c r="W540" s="183"/>
      <c r="X540" s="183"/>
      <c r="Y540" s="183"/>
      <c r="Z540" s="183"/>
    </row>
    <row r="541" spans="1:26" ht="15" customHeight="1" x14ac:dyDescent="0.25">
      <c r="A541" s="183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83"/>
      <c r="O541" s="183"/>
      <c r="P541" s="183"/>
      <c r="Q541" s="183"/>
      <c r="R541" s="183"/>
      <c r="S541" s="183"/>
      <c r="T541" s="183"/>
      <c r="U541" s="183"/>
      <c r="V541" s="183"/>
      <c r="W541" s="183"/>
      <c r="X541" s="183"/>
      <c r="Y541" s="183"/>
      <c r="Z541" s="183"/>
    </row>
    <row r="542" spans="1:26" ht="15" customHeight="1" x14ac:dyDescent="0.25">
      <c r="A542" s="183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183"/>
      <c r="O542" s="183"/>
      <c r="P542" s="183"/>
      <c r="Q542" s="183"/>
      <c r="R542" s="183"/>
      <c r="S542" s="183"/>
      <c r="T542" s="183"/>
      <c r="U542" s="183"/>
      <c r="V542" s="183"/>
      <c r="W542" s="183"/>
      <c r="X542" s="183"/>
      <c r="Y542" s="183"/>
      <c r="Z542" s="183"/>
    </row>
    <row r="543" spans="1:26" ht="15" customHeight="1" x14ac:dyDescent="0.25">
      <c r="A543" s="183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183"/>
      <c r="O543" s="183"/>
      <c r="P543" s="183"/>
      <c r="Q543" s="183"/>
      <c r="R543" s="183"/>
      <c r="S543" s="183"/>
      <c r="T543" s="183"/>
      <c r="U543" s="183"/>
      <c r="V543" s="183"/>
      <c r="W543" s="183"/>
      <c r="X543" s="183"/>
      <c r="Y543" s="183"/>
      <c r="Z543" s="183"/>
    </row>
    <row r="544" spans="1:26" ht="15" customHeight="1" x14ac:dyDescent="0.25">
      <c r="A544" s="183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183"/>
      <c r="O544" s="183"/>
      <c r="P544" s="183"/>
      <c r="Q544" s="183"/>
      <c r="R544" s="183"/>
      <c r="S544" s="183"/>
      <c r="T544" s="183"/>
      <c r="U544" s="183"/>
      <c r="V544" s="183"/>
      <c r="W544" s="183"/>
      <c r="X544" s="183"/>
      <c r="Y544" s="183"/>
      <c r="Z544" s="183"/>
    </row>
    <row r="545" spans="1:26" ht="15" customHeight="1" x14ac:dyDescent="0.25">
      <c r="A545" s="183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R545" s="183"/>
      <c r="S545" s="183"/>
      <c r="T545" s="183"/>
      <c r="U545" s="183"/>
      <c r="V545" s="183"/>
      <c r="W545" s="183"/>
      <c r="X545" s="183"/>
      <c r="Y545" s="183"/>
      <c r="Z545" s="183"/>
    </row>
    <row r="546" spans="1:26" ht="15" customHeight="1" x14ac:dyDescent="0.25">
      <c r="A546" s="183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183"/>
      <c r="O546" s="183"/>
      <c r="P546" s="183"/>
      <c r="Q546" s="183"/>
      <c r="R546" s="183"/>
      <c r="S546" s="183"/>
      <c r="T546" s="183"/>
      <c r="U546" s="183"/>
      <c r="V546" s="183"/>
      <c r="W546" s="183"/>
      <c r="X546" s="183"/>
      <c r="Y546" s="183"/>
      <c r="Z546" s="183"/>
    </row>
    <row r="547" spans="1:26" ht="15" customHeight="1" x14ac:dyDescent="0.25">
      <c r="A547" s="183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183"/>
      <c r="O547" s="183"/>
      <c r="P547" s="183"/>
      <c r="Q547" s="183"/>
      <c r="R547" s="183"/>
      <c r="S547" s="183"/>
      <c r="T547" s="183"/>
      <c r="U547" s="183"/>
      <c r="V547" s="183"/>
      <c r="W547" s="183"/>
      <c r="X547" s="183"/>
      <c r="Y547" s="183"/>
      <c r="Z547" s="183"/>
    </row>
    <row r="548" spans="1:26" ht="15" customHeight="1" x14ac:dyDescent="0.25">
      <c r="A548" s="183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183"/>
      <c r="O548" s="183"/>
      <c r="P548" s="183"/>
      <c r="Q548" s="183"/>
      <c r="R548" s="183"/>
      <c r="S548" s="183"/>
      <c r="T548" s="183"/>
      <c r="U548" s="183"/>
      <c r="V548" s="183"/>
      <c r="W548" s="183"/>
      <c r="X548" s="183"/>
      <c r="Y548" s="183"/>
      <c r="Z548" s="183"/>
    </row>
    <row r="549" spans="1:26" ht="15" customHeight="1" x14ac:dyDescent="0.25">
      <c r="A549" s="183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183"/>
      <c r="O549" s="183"/>
      <c r="P549" s="183"/>
      <c r="Q549" s="183"/>
      <c r="R549" s="183"/>
      <c r="S549" s="183"/>
      <c r="T549" s="183"/>
      <c r="U549" s="183"/>
      <c r="V549" s="183"/>
      <c r="W549" s="183"/>
      <c r="X549" s="183"/>
      <c r="Y549" s="183"/>
      <c r="Z549" s="183"/>
    </row>
    <row r="550" spans="1:26" ht="15" customHeight="1" x14ac:dyDescent="0.25">
      <c r="A550" s="183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183"/>
      <c r="O550" s="183"/>
      <c r="P550" s="183"/>
      <c r="Q550" s="183"/>
      <c r="R550" s="183"/>
      <c r="S550" s="183"/>
      <c r="T550" s="183"/>
      <c r="U550" s="183"/>
      <c r="V550" s="183"/>
      <c r="W550" s="183"/>
      <c r="X550" s="183"/>
      <c r="Y550" s="183"/>
      <c r="Z550" s="183"/>
    </row>
    <row r="551" spans="1:26" ht="15" customHeight="1" x14ac:dyDescent="0.25">
      <c r="A551" s="183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183"/>
      <c r="O551" s="183"/>
      <c r="P551" s="183"/>
      <c r="Q551" s="183"/>
      <c r="R551" s="183"/>
      <c r="S551" s="183"/>
      <c r="T551" s="183"/>
      <c r="U551" s="183"/>
      <c r="V551" s="183"/>
      <c r="W551" s="183"/>
      <c r="X551" s="183"/>
      <c r="Y551" s="183"/>
      <c r="Z551" s="183"/>
    </row>
    <row r="552" spans="1:26" ht="15" customHeight="1" x14ac:dyDescent="0.25">
      <c r="A552" s="183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183"/>
      <c r="O552" s="183"/>
      <c r="P552" s="183"/>
      <c r="Q552" s="183"/>
      <c r="R552" s="183"/>
      <c r="S552" s="183"/>
      <c r="T552" s="183"/>
      <c r="U552" s="183"/>
      <c r="V552" s="183"/>
      <c r="W552" s="183"/>
      <c r="X552" s="183"/>
      <c r="Y552" s="183"/>
      <c r="Z552" s="183"/>
    </row>
    <row r="553" spans="1:26" ht="15" customHeight="1" x14ac:dyDescent="0.25">
      <c r="A553" s="183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183"/>
      <c r="O553" s="183"/>
      <c r="P553" s="183"/>
      <c r="Q553" s="183"/>
      <c r="R553" s="183"/>
      <c r="S553" s="183"/>
      <c r="T553" s="183"/>
      <c r="U553" s="183"/>
      <c r="V553" s="183"/>
      <c r="W553" s="183"/>
      <c r="X553" s="183"/>
      <c r="Y553" s="183"/>
      <c r="Z553" s="183"/>
    </row>
    <row r="554" spans="1:26" ht="15" customHeight="1" x14ac:dyDescent="0.25">
      <c r="A554" s="183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183"/>
      <c r="R554" s="183"/>
      <c r="S554" s="183"/>
      <c r="T554" s="183"/>
      <c r="U554" s="183"/>
      <c r="V554" s="183"/>
      <c r="W554" s="183"/>
      <c r="X554" s="183"/>
      <c r="Y554" s="183"/>
      <c r="Z554" s="183"/>
    </row>
    <row r="555" spans="1:26" ht="15" customHeight="1" x14ac:dyDescent="0.25">
      <c r="A555" s="183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183"/>
      <c r="O555" s="183"/>
      <c r="P555" s="183"/>
      <c r="Q555" s="183"/>
      <c r="R555" s="183"/>
      <c r="S555" s="183"/>
      <c r="T555" s="183"/>
      <c r="U555" s="183"/>
      <c r="V555" s="183"/>
      <c r="W555" s="183"/>
      <c r="X555" s="183"/>
      <c r="Y555" s="183"/>
      <c r="Z555" s="183"/>
    </row>
    <row r="556" spans="1:26" ht="15" customHeight="1" x14ac:dyDescent="0.25">
      <c r="A556" s="183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183"/>
      <c r="O556" s="183"/>
      <c r="P556" s="183"/>
      <c r="Q556" s="183"/>
      <c r="R556" s="183"/>
      <c r="S556" s="183"/>
      <c r="T556" s="183"/>
      <c r="U556" s="183"/>
      <c r="V556" s="183"/>
      <c r="W556" s="183"/>
      <c r="X556" s="183"/>
      <c r="Y556" s="183"/>
      <c r="Z556" s="183"/>
    </row>
    <row r="557" spans="1:26" ht="15" customHeight="1" x14ac:dyDescent="0.25">
      <c r="A557" s="183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183"/>
      <c r="O557" s="183"/>
      <c r="P557" s="183"/>
      <c r="Q557" s="183"/>
      <c r="R557" s="183"/>
      <c r="S557" s="183"/>
      <c r="T557" s="183"/>
      <c r="U557" s="183"/>
      <c r="V557" s="183"/>
      <c r="W557" s="183"/>
      <c r="X557" s="183"/>
      <c r="Y557" s="183"/>
      <c r="Z557" s="183"/>
    </row>
    <row r="558" spans="1:26" ht="15" customHeight="1" x14ac:dyDescent="0.25">
      <c r="A558" s="183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183"/>
      <c r="O558" s="183"/>
      <c r="P558" s="183"/>
      <c r="Q558" s="183"/>
      <c r="R558" s="183"/>
      <c r="S558" s="183"/>
      <c r="T558" s="183"/>
      <c r="U558" s="183"/>
      <c r="V558" s="183"/>
      <c r="W558" s="183"/>
      <c r="X558" s="183"/>
      <c r="Y558" s="183"/>
      <c r="Z558" s="183"/>
    </row>
    <row r="559" spans="1:26" ht="15" customHeight="1" x14ac:dyDescent="0.25">
      <c r="A559" s="183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183"/>
      <c r="O559" s="183"/>
      <c r="P559" s="183"/>
      <c r="Q559" s="183"/>
      <c r="R559" s="183"/>
      <c r="S559" s="183"/>
      <c r="T559" s="183"/>
      <c r="U559" s="183"/>
      <c r="V559" s="183"/>
      <c r="W559" s="183"/>
      <c r="X559" s="183"/>
      <c r="Y559" s="183"/>
      <c r="Z559" s="183"/>
    </row>
    <row r="560" spans="1:26" ht="15" customHeight="1" x14ac:dyDescent="0.25">
      <c r="A560" s="183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183"/>
      <c r="O560" s="183"/>
      <c r="P560" s="183"/>
      <c r="Q560" s="183"/>
      <c r="R560" s="183"/>
      <c r="S560" s="183"/>
      <c r="T560" s="183"/>
      <c r="U560" s="183"/>
      <c r="V560" s="183"/>
      <c r="W560" s="183"/>
      <c r="X560" s="183"/>
      <c r="Y560" s="183"/>
      <c r="Z560" s="183"/>
    </row>
    <row r="561" spans="1:26" ht="15" customHeight="1" x14ac:dyDescent="0.25">
      <c r="A561" s="183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183"/>
      <c r="O561" s="183"/>
      <c r="P561" s="183"/>
      <c r="Q561" s="183"/>
      <c r="R561" s="183"/>
      <c r="S561" s="183"/>
      <c r="T561" s="183"/>
      <c r="U561" s="183"/>
      <c r="V561" s="183"/>
      <c r="W561" s="183"/>
      <c r="X561" s="183"/>
      <c r="Y561" s="183"/>
      <c r="Z561" s="183"/>
    </row>
    <row r="562" spans="1:26" ht="15" customHeight="1" x14ac:dyDescent="0.25">
      <c r="A562" s="18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183"/>
      <c r="O562" s="183"/>
      <c r="P562" s="183"/>
      <c r="Q562" s="183"/>
      <c r="R562" s="183"/>
      <c r="S562" s="183"/>
      <c r="T562" s="183"/>
      <c r="U562" s="183"/>
      <c r="V562" s="183"/>
      <c r="W562" s="183"/>
      <c r="X562" s="183"/>
      <c r="Y562" s="183"/>
      <c r="Z562" s="183"/>
    </row>
    <row r="563" spans="1:26" ht="15" customHeight="1" x14ac:dyDescent="0.25">
      <c r="A563" s="18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183"/>
      <c r="O563" s="183"/>
      <c r="P563" s="183"/>
      <c r="Q563" s="183"/>
      <c r="R563" s="183"/>
      <c r="S563" s="183"/>
      <c r="T563" s="183"/>
      <c r="U563" s="183"/>
      <c r="V563" s="183"/>
      <c r="W563" s="183"/>
      <c r="X563" s="183"/>
      <c r="Y563" s="183"/>
      <c r="Z563" s="183"/>
    </row>
    <row r="564" spans="1:26" ht="15" customHeight="1" x14ac:dyDescent="0.25">
      <c r="A564" s="183"/>
      <c r="B564" s="183"/>
      <c r="C564" s="183"/>
      <c r="D564" s="183"/>
      <c r="E564" s="183"/>
      <c r="F564" s="183"/>
      <c r="G564" s="183"/>
      <c r="H564" s="183"/>
      <c r="I564" s="183"/>
      <c r="J564" s="183"/>
      <c r="K564" s="183"/>
      <c r="L564" s="183"/>
      <c r="M564" s="183"/>
      <c r="N564" s="183"/>
      <c r="O564" s="183"/>
      <c r="P564" s="183"/>
      <c r="Q564" s="183"/>
      <c r="R564" s="183"/>
      <c r="S564" s="183"/>
      <c r="T564" s="183"/>
      <c r="U564" s="183"/>
      <c r="V564" s="183"/>
      <c r="W564" s="183"/>
      <c r="X564" s="183"/>
      <c r="Y564" s="183"/>
      <c r="Z564" s="183"/>
    </row>
    <row r="565" spans="1:26" ht="15" customHeight="1" x14ac:dyDescent="0.25">
      <c r="A565" s="183"/>
      <c r="B565" s="183"/>
      <c r="C565" s="183"/>
      <c r="D565" s="183"/>
      <c r="E565" s="183"/>
      <c r="F565" s="183"/>
      <c r="G565" s="183"/>
      <c r="H565" s="183"/>
      <c r="I565" s="183"/>
      <c r="J565" s="183"/>
      <c r="K565" s="183"/>
      <c r="L565" s="183"/>
      <c r="M565" s="183"/>
      <c r="N565" s="183"/>
      <c r="O565" s="183"/>
      <c r="P565" s="183"/>
      <c r="Q565" s="183"/>
      <c r="R565" s="183"/>
      <c r="S565" s="183"/>
      <c r="T565" s="183"/>
      <c r="U565" s="183"/>
      <c r="V565" s="183"/>
      <c r="W565" s="183"/>
      <c r="X565" s="183"/>
      <c r="Y565" s="183"/>
      <c r="Z565" s="183"/>
    </row>
    <row r="566" spans="1:26" ht="15" customHeight="1" x14ac:dyDescent="0.25">
      <c r="A566" s="183"/>
      <c r="B566" s="183"/>
      <c r="C566" s="183"/>
      <c r="D566" s="183"/>
      <c r="E566" s="183"/>
      <c r="F566" s="183"/>
      <c r="G566" s="183"/>
      <c r="H566" s="183"/>
      <c r="I566" s="183"/>
      <c r="J566" s="183"/>
      <c r="K566" s="183"/>
      <c r="L566" s="183"/>
      <c r="M566" s="183"/>
      <c r="N566" s="183"/>
      <c r="O566" s="183"/>
      <c r="P566" s="183"/>
      <c r="Q566" s="183"/>
      <c r="R566" s="183"/>
      <c r="S566" s="183"/>
      <c r="T566" s="183"/>
      <c r="U566" s="183"/>
      <c r="V566" s="183"/>
      <c r="W566" s="183"/>
      <c r="X566" s="183"/>
      <c r="Y566" s="183"/>
      <c r="Z566" s="183"/>
    </row>
    <row r="567" spans="1:26" ht="15" customHeight="1" x14ac:dyDescent="0.25">
      <c r="A567" s="183"/>
      <c r="B567" s="183"/>
      <c r="C567" s="183"/>
      <c r="D567" s="183"/>
      <c r="E567" s="183"/>
      <c r="F567" s="183"/>
      <c r="G567" s="183"/>
      <c r="H567" s="183"/>
      <c r="I567" s="183"/>
      <c r="J567" s="183"/>
      <c r="K567" s="183"/>
      <c r="L567" s="183"/>
      <c r="M567" s="183"/>
      <c r="N567" s="183"/>
      <c r="O567" s="183"/>
      <c r="P567" s="183"/>
      <c r="Q567" s="183"/>
      <c r="R567" s="183"/>
      <c r="S567" s="183"/>
      <c r="T567" s="183"/>
      <c r="U567" s="183"/>
      <c r="V567" s="183"/>
      <c r="W567" s="183"/>
      <c r="X567" s="183"/>
      <c r="Y567" s="183"/>
      <c r="Z567" s="183"/>
    </row>
    <row r="568" spans="1:26" ht="15" customHeight="1" x14ac:dyDescent="0.25">
      <c r="A568" s="183"/>
      <c r="B568" s="183"/>
      <c r="C568" s="183"/>
      <c r="D568" s="183"/>
      <c r="E568" s="183"/>
      <c r="F568" s="183"/>
      <c r="G568" s="183"/>
      <c r="H568" s="183"/>
      <c r="I568" s="183"/>
      <c r="J568" s="183"/>
      <c r="K568" s="183"/>
      <c r="L568" s="183"/>
      <c r="M568" s="183"/>
      <c r="N568" s="183"/>
      <c r="O568" s="183"/>
      <c r="P568" s="183"/>
      <c r="Q568" s="183"/>
      <c r="R568" s="183"/>
      <c r="S568" s="183"/>
      <c r="T568" s="183"/>
      <c r="U568" s="183"/>
      <c r="V568" s="183"/>
      <c r="W568" s="183"/>
      <c r="X568" s="183"/>
      <c r="Y568" s="183"/>
      <c r="Z568" s="183"/>
    </row>
    <row r="569" spans="1:26" ht="15" customHeight="1" x14ac:dyDescent="0.25">
      <c r="A569" s="183"/>
      <c r="B569" s="183"/>
      <c r="C569" s="183"/>
      <c r="D569" s="183"/>
      <c r="E569" s="183"/>
      <c r="F569" s="183"/>
      <c r="G569" s="183"/>
      <c r="H569" s="183"/>
      <c r="I569" s="183"/>
      <c r="J569" s="183"/>
      <c r="K569" s="183"/>
      <c r="L569" s="183"/>
      <c r="M569" s="183"/>
      <c r="N569" s="183"/>
      <c r="O569" s="183"/>
      <c r="P569" s="183"/>
      <c r="Q569" s="183"/>
      <c r="R569" s="183"/>
      <c r="S569" s="183"/>
      <c r="T569" s="183"/>
      <c r="U569" s="183"/>
      <c r="V569" s="183"/>
      <c r="W569" s="183"/>
      <c r="X569" s="183"/>
      <c r="Y569" s="183"/>
      <c r="Z569" s="183"/>
    </row>
    <row r="570" spans="1:26" ht="15" customHeight="1" x14ac:dyDescent="0.25">
      <c r="A570" s="183"/>
      <c r="B570" s="183"/>
      <c r="C570" s="183"/>
      <c r="D570" s="183"/>
      <c r="E570" s="183"/>
      <c r="F570" s="183"/>
      <c r="G570" s="183"/>
      <c r="H570" s="183"/>
      <c r="I570" s="183"/>
      <c r="J570" s="183"/>
      <c r="K570" s="183"/>
      <c r="L570" s="183"/>
      <c r="M570" s="183"/>
      <c r="N570" s="183"/>
      <c r="O570" s="183"/>
      <c r="P570" s="183"/>
      <c r="Q570" s="183"/>
      <c r="R570" s="183"/>
      <c r="S570" s="183"/>
      <c r="T570" s="183"/>
      <c r="U570" s="183"/>
      <c r="V570" s="183"/>
      <c r="W570" s="183"/>
      <c r="X570" s="183"/>
      <c r="Y570" s="183"/>
      <c r="Z570" s="183"/>
    </row>
    <row r="571" spans="1:26" ht="15" customHeight="1" x14ac:dyDescent="0.25">
      <c r="A571" s="183"/>
      <c r="B571" s="183"/>
      <c r="C571" s="183"/>
      <c r="D571" s="183"/>
      <c r="E571" s="183"/>
      <c r="F571" s="183"/>
      <c r="G571" s="183"/>
      <c r="H571" s="183"/>
      <c r="I571" s="183"/>
      <c r="J571" s="183"/>
      <c r="K571" s="183"/>
      <c r="L571" s="183"/>
      <c r="M571" s="183"/>
      <c r="N571" s="183"/>
      <c r="O571" s="183"/>
      <c r="P571" s="183"/>
      <c r="Q571" s="183"/>
      <c r="R571" s="183"/>
      <c r="S571" s="183"/>
      <c r="T571" s="183"/>
      <c r="U571" s="183"/>
      <c r="V571" s="183"/>
      <c r="W571" s="183"/>
      <c r="X571" s="183"/>
      <c r="Y571" s="183"/>
      <c r="Z571" s="183"/>
    </row>
    <row r="572" spans="1:26" ht="15" customHeight="1" x14ac:dyDescent="0.25">
      <c r="A572" s="183"/>
      <c r="B572" s="183"/>
      <c r="C572" s="183"/>
      <c r="D572" s="183"/>
      <c r="E572" s="183"/>
      <c r="F572" s="183"/>
      <c r="G572" s="183"/>
      <c r="H572" s="183"/>
      <c r="I572" s="183"/>
      <c r="J572" s="183"/>
      <c r="K572" s="183"/>
      <c r="L572" s="183"/>
      <c r="M572" s="183"/>
      <c r="N572" s="183"/>
      <c r="O572" s="183"/>
      <c r="P572" s="183"/>
      <c r="Q572" s="183"/>
      <c r="R572" s="183"/>
      <c r="S572" s="183"/>
      <c r="T572" s="183"/>
      <c r="U572" s="183"/>
      <c r="V572" s="183"/>
      <c r="W572" s="183"/>
      <c r="X572" s="183"/>
      <c r="Y572" s="183"/>
      <c r="Z572" s="183"/>
    </row>
    <row r="573" spans="1:26" ht="15" customHeight="1" x14ac:dyDescent="0.25">
      <c r="A573" s="183"/>
      <c r="B573" s="183"/>
      <c r="C573" s="183"/>
      <c r="D573" s="183"/>
      <c r="E573" s="183"/>
      <c r="F573" s="183"/>
      <c r="G573" s="183"/>
      <c r="H573" s="183"/>
      <c r="I573" s="183"/>
      <c r="J573" s="183"/>
      <c r="K573" s="183"/>
      <c r="L573" s="183"/>
      <c r="M573" s="183"/>
      <c r="N573" s="183"/>
      <c r="O573" s="183"/>
      <c r="P573" s="183"/>
      <c r="Q573" s="183"/>
      <c r="R573" s="183"/>
      <c r="S573" s="183"/>
      <c r="T573" s="183"/>
      <c r="U573" s="183"/>
      <c r="V573" s="183"/>
      <c r="W573" s="183"/>
      <c r="X573" s="183"/>
      <c r="Y573" s="183"/>
      <c r="Z573" s="183"/>
    </row>
    <row r="574" spans="1:26" ht="15" customHeight="1" x14ac:dyDescent="0.25">
      <c r="A574" s="183"/>
      <c r="B574" s="183"/>
      <c r="C574" s="183"/>
      <c r="D574" s="183"/>
      <c r="E574" s="183"/>
      <c r="F574" s="183"/>
      <c r="G574" s="183"/>
      <c r="H574" s="183"/>
      <c r="I574" s="183"/>
      <c r="J574" s="183"/>
      <c r="K574" s="183"/>
      <c r="L574" s="183"/>
      <c r="M574" s="183"/>
      <c r="N574" s="183"/>
      <c r="O574" s="183"/>
      <c r="P574" s="183"/>
      <c r="Q574" s="183"/>
      <c r="R574" s="183"/>
      <c r="S574" s="183"/>
      <c r="T574" s="183"/>
      <c r="U574" s="183"/>
      <c r="V574" s="183"/>
      <c r="W574" s="183"/>
      <c r="X574" s="183"/>
      <c r="Y574" s="183"/>
      <c r="Z574" s="183"/>
    </row>
    <row r="575" spans="1:26" ht="15" customHeight="1" x14ac:dyDescent="0.25">
      <c r="A575" s="183"/>
      <c r="B575" s="183"/>
      <c r="C575" s="183"/>
      <c r="D575" s="183"/>
      <c r="E575" s="183"/>
      <c r="F575" s="183"/>
      <c r="G575" s="183"/>
      <c r="H575" s="183"/>
      <c r="I575" s="183"/>
      <c r="J575" s="183"/>
      <c r="K575" s="183"/>
      <c r="L575" s="183"/>
      <c r="M575" s="183"/>
      <c r="N575" s="183"/>
      <c r="O575" s="183"/>
      <c r="P575" s="183"/>
      <c r="Q575" s="183"/>
      <c r="R575" s="183"/>
      <c r="S575" s="183"/>
      <c r="T575" s="183"/>
      <c r="U575" s="183"/>
      <c r="V575" s="183"/>
      <c r="W575" s="183"/>
      <c r="X575" s="183"/>
      <c r="Y575" s="183"/>
      <c r="Z575" s="183"/>
    </row>
    <row r="576" spans="1:26" ht="15" customHeight="1" x14ac:dyDescent="0.25">
      <c r="A576" s="183"/>
      <c r="B576" s="183"/>
      <c r="C576" s="183"/>
      <c r="D576" s="183"/>
      <c r="E576" s="183"/>
      <c r="F576" s="183"/>
      <c r="G576" s="183"/>
      <c r="H576" s="183"/>
      <c r="I576" s="183"/>
      <c r="J576" s="183"/>
      <c r="K576" s="183"/>
      <c r="L576" s="183"/>
      <c r="M576" s="183"/>
      <c r="N576" s="183"/>
      <c r="O576" s="183"/>
      <c r="P576" s="183"/>
      <c r="Q576" s="183"/>
      <c r="R576" s="183"/>
      <c r="S576" s="183"/>
      <c r="T576" s="183"/>
      <c r="U576" s="183"/>
      <c r="V576" s="183"/>
      <c r="W576" s="183"/>
      <c r="X576" s="183"/>
      <c r="Y576" s="183"/>
      <c r="Z576" s="183"/>
    </row>
    <row r="577" spans="1:26" ht="15" customHeight="1" x14ac:dyDescent="0.25">
      <c r="A577" s="183"/>
      <c r="B577" s="183"/>
      <c r="C577" s="183"/>
      <c r="D577" s="183"/>
      <c r="E577" s="183"/>
      <c r="F577" s="183"/>
      <c r="G577" s="183"/>
      <c r="H577" s="183"/>
      <c r="I577" s="183"/>
      <c r="J577" s="183"/>
      <c r="K577" s="183"/>
      <c r="L577" s="183"/>
      <c r="M577" s="183"/>
      <c r="N577" s="183"/>
      <c r="O577" s="183"/>
      <c r="P577" s="183"/>
      <c r="Q577" s="183"/>
      <c r="R577" s="183"/>
      <c r="S577" s="183"/>
      <c r="T577" s="183"/>
      <c r="U577" s="183"/>
      <c r="V577" s="183"/>
      <c r="W577" s="183"/>
      <c r="X577" s="183"/>
      <c r="Y577" s="183"/>
      <c r="Z577" s="183"/>
    </row>
    <row r="578" spans="1:26" ht="15" customHeight="1" x14ac:dyDescent="0.25">
      <c r="A578" s="183"/>
      <c r="B578" s="183"/>
      <c r="C578" s="183"/>
      <c r="D578" s="183"/>
      <c r="E578" s="183"/>
      <c r="F578" s="183"/>
      <c r="G578" s="183"/>
      <c r="H578" s="183"/>
      <c r="I578" s="183"/>
      <c r="J578" s="183"/>
      <c r="K578" s="183"/>
      <c r="L578" s="183"/>
      <c r="M578" s="183"/>
      <c r="N578" s="183"/>
      <c r="O578" s="183"/>
      <c r="P578" s="183"/>
      <c r="Q578" s="183"/>
      <c r="R578" s="183"/>
      <c r="S578" s="183"/>
      <c r="T578" s="183"/>
      <c r="U578" s="183"/>
      <c r="V578" s="183"/>
      <c r="W578" s="183"/>
      <c r="X578" s="183"/>
      <c r="Y578" s="183"/>
      <c r="Z578" s="183"/>
    </row>
    <row r="579" spans="1:26" ht="15" customHeight="1" x14ac:dyDescent="0.25">
      <c r="A579" s="183"/>
      <c r="B579" s="183"/>
      <c r="C579" s="183"/>
      <c r="D579" s="183"/>
      <c r="E579" s="183"/>
      <c r="F579" s="183"/>
      <c r="G579" s="183"/>
      <c r="H579" s="183"/>
      <c r="I579" s="183"/>
      <c r="J579" s="183"/>
      <c r="K579" s="183"/>
      <c r="L579" s="183"/>
      <c r="M579" s="183"/>
      <c r="N579" s="183"/>
      <c r="O579" s="183"/>
      <c r="P579" s="183"/>
      <c r="Q579" s="183"/>
      <c r="R579" s="183"/>
      <c r="S579" s="183"/>
      <c r="T579" s="183"/>
      <c r="U579" s="183"/>
      <c r="V579" s="183"/>
      <c r="W579" s="183"/>
      <c r="X579" s="183"/>
      <c r="Y579" s="183"/>
      <c r="Z579" s="183"/>
    </row>
    <row r="580" spans="1:26" ht="15" customHeight="1" x14ac:dyDescent="0.25">
      <c r="A580" s="183"/>
      <c r="B580" s="183"/>
      <c r="C580" s="183"/>
      <c r="D580" s="183"/>
      <c r="E580" s="183"/>
      <c r="F580" s="183"/>
      <c r="G580" s="183"/>
      <c r="H580" s="183"/>
      <c r="I580" s="183"/>
      <c r="J580" s="183"/>
      <c r="K580" s="183"/>
      <c r="L580" s="183"/>
      <c r="M580" s="183"/>
      <c r="N580" s="183"/>
      <c r="O580" s="183"/>
      <c r="P580" s="183"/>
      <c r="Q580" s="183"/>
      <c r="R580" s="183"/>
      <c r="S580" s="183"/>
      <c r="T580" s="183"/>
      <c r="U580" s="183"/>
      <c r="V580" s="183"/>
      <c r="W580" s="183"/>
      <c r="X580" s="183"/>
      <c r="Y580" s="183"/>
      <c r="Z580" s="183"/>
    </row>
    <row r="581" spans="1:26" ht="15" customHeight="1" x14ac:dyDescent="0.25">
      <c r="A581" s="183"/>
      <c r="B581" s="183"/>
      <c r="C581" s="183"/>
      <c r="D581" s="183"/>
      <c r="E581" s="183"/>
      <c r="F581" s="183"/>
      <c r="G581" s="183"/>
      <c r="H581" s="183"/>
      <c r="I581" s="183"/>
      <c r="J581" s="183"/>
      <c r="K581" s="183"/>
      <c r="L581" s="183"/>
      <c r="M581" s="183"/>
      <c r="N581" s="183"/>
      <c r="O581" s="183"/>
      <c r="P581" s="183"/>
      <c r="Q581" s="183"/>
      <c r="R581" s="183"/>
      <c r="S581" s="183"/>
      <c r="T581" s="183"/>
      <c r="U581" s="183"/>
      <c r="V581" s="183"/>
      <c r="W581" s="183"/>
      <c r="X581" s="183"/>
      <c r="Y581" s="183"/>
      <c r="Z581" s="183"/>
    </row>
    <row r="582" spans="1:26" ht="15" customHeight="1" x14ac:dyDescent="0.25">
      <c r="A582" s="183"/>
      <c r="B582" s="183"/>
      <c r="C582" s="183"/>
      <c r="D582" s="183"/>
      <c r="E582" s="183"/>
      <c r="F582" s="183"/>
      <c r="G582" s="183"/>
      <c r="H582" s="183"/>
      <c r="I582" s="183"/>
      <c r="J582" s="183"/>
      <c r="K582" s="183"/>
      <c r="L582" s="183"/>
      <c r="M582" s="183"/>
      <c r="N582" s="183"/>
      <c r="O582" s="183"/>
      <c r="P582" s="183"/>
      <c r="Q582" s="183"/>
      <c r="R582" s="183"/>
      <c r="S582" s="183"/>
      <c r="T582" s="183"/>
      <c r="U582" s="183"/>
      <c r="V582" s="183"/>
      <c r="W582" s="183"/>
      <c r="X582" s="183"/>
      <c r="Y582" s="183"/>
      <c r="Z582" s="183"/>
    </row>
    <row r="583" spans="1:26" ht="15" customHeight="1" x14ac:dyDescent="0.25">
      <c r="A583" s="183"/>
      <c r="B583" s="183"/>
      <c r="C583" s="183"/>
      <c r="D583" s="183"/>
      <c r="E583" s="183"/>
      <c r="F583" s="183"/>
      <c r="G583" s="183"/>
      <c r="H583" s="183"/>
      <c r="I583" s="183"/>
      <c r="J583" s="183"/>
      <c r="K583" s="183"/>
      <c r="L583" s="183"/>
      <c r="M583" s="183"/>
      <c r="N583" s="183"/>
      <c r="O583" s="183"/>
      <c r="P583" s="183"/>
      <c r="Q583" s="183"/>
      <c r="R583" s="183"/>
      <c r="S583" s="183"/>
      <c r="T583" s="183"/>
      <c r="U583" s="183"/>
      <c r="V583" s="183"/>
      <c r="W583" s="183"/>
      <c r="X583" s="183"/>
      <c r="Y583" s="183"/>
      <c r="Z583" s="183"/>
    </row>
    <row r="584" spans="1:26" ht="15" customHeight="1" x14ac:dyDescent="0.25">
      <c r="A584" s="183"/>
      <c r="B584" s="183"/>
      <c r="C584" s="183"/>
      <c r="D584" s="183"/>
      <c r="E584" s="183"/>
      <c r="F584" s="183"/>
      <c r="G584" s="183"/>
      <c r="H584" s="183"/>
      <c r="I584" s="183"/>
      <c r="J584" s="183"/>
      <c r="K584" s="183"/>
      <c r="L584" s="183"/>
      <c r="M584" s="183"/>
      <c r="N584" s="183"/>
      <c r="O584" s="183"/>
      <c r="P584" s="183"/>
      <c r="Q584" s="183"/>
      <c r="R584" s="183"/>
      <c r="S584" s="183"/>
      <c r="T584" s="183"/>
      <c r="U584" s="183"/>
      <c r="V584" s="183"/>
      <c r="W584" s="183"/>
      <c r="X584" s="183"/>
      <c r="Y584" s="183"/>
      <c r="Z584" s="183"/>
    </row>
    <row r="585" spans="1:26" ht="15" customHeight="1" x14ac:dyDescent="0.25">
      <c r="A585" s="183"/>
      <c r="B585" s="183"/>
      <c r="C585" s="183"/>
      <c r="D585" s="183"/>
      <c r="E585" s="183"/>
      <c r="F585" s="183"/>
      <c r="G585" s="183"/>
      <c r="H585" s="183"/>
      <c r="I585" s="183"/>
      <c r="J585" s="183"/>
      <c r="K585" s="183"/>
      <c r="L585" s="183"/>
      <c r="M585" s="183"/>
      <c r="N585" s="183"/>
      <c r="O585" s="183"/>
      <c r="P585" s="183"/>
      <c r="Q585" s="183"/>
      <c r="R585" s="183"/>
      <c r="S585" s="183"/>
      <c r="T585" s="183"/>
      <c r="U585" s="183"/>
      <c r="V585" s="183"/>
      <c r="W585" s="183"/>
      <c r="X585" s="183"/>
      <c r="Y585" s="183"/>
      <c r="Z585" s="183"/>
    </row>
    <row r="586" spans="1:26" ht="15" customHeight="1" x14ac:dyDescent="0.25">
      <c r="A586" s="183"/>
      <c r="B586" s="183"/>
      <c r="C586" s="183"/>
      <c r="D586" s="183"/>
      <c r="E586" s="183"/>
      <c r="F586" s="183"/>
      <c r="G586" s="183"/>
      <c r="H586" s="183"/>
      <c r="I586" s="183"/>
      <c r="J586" s="183"/>
      <c r="K586" s="183"/>
      <c r="L586" s="183"/>
      <c r="M586" s="183"/>
      <c r="N586" s="183"/>
      <c r="O586" s="183"/>
      <c r="P586" s="183"/>
      <c r="Q586" s="183"/>
      <c r="R586" s="183"/>
      <c r="S586" s="183"/>
      <c r="T586" s="183"/>
      <c r="U586" s="183"/>
      <c r="V586" s="183"/>
      <c r="W586" s="183"/>
      <c r="X586" s="183"/>
      <c r="Y586" s="183"/>
      <c r="Z586" s="183"/>
    </row>
    <row r="587" spans="1:26" ht="15" customHeight="1" x14ac:dyDescent="0.25">
      <c r="A587" s="183"/>
      <c r="B587" s="183"/>
      <c r="C587" s="183"/>
      <c r="D587" s="183"/>
      <c r="E587" s="183"/>
      <c r="F587" s="183"/>
      <c r="G587" s="183"/>
      <c r="H587" s="183"/>
      <c r="I587" s="183"/>
      <c r="J587" s="183"/>
      <c r="K587" s="183"/>
      <c r="L587" s="183"/>
      <c r="M587" s="183"/>
      <c r="N587" s="183"/>
      <c r="O587" s="183"/>
      <c r="P587" s="183"/>
      <c r="Q587" s="183"/>
      <c r="R587" s="183"/>
      <c r="S587" s="183"/>
      <c r="T587" s="183"/>
      <c r="U587" s="183"/>
      <c r="V587" s="183"/>
      <c r="W587" s="183"/>
      <c r="X587" s="183"/>
      <c r="Y587" s="183"/>
      <c r="Z587" s="183"/>
    </row>
    <row r="588" spans="1:26" ht="15" customHeight="1" x14ac:dyDescent="0.25">
      <c r="A588" s="183"/>
      <c r="B588" s="183"/>
      <c r="C588" s="183"/>
      <c r="D588" s="183"/>
      <c r="E588" s="183"/>
      <c r="F588" s="183"/>
      <c r="G588" s="183"/>
      <c r="H588" s="183"/>
      <c r="I588" s="183"/>
      <c r="J588" s="183"/>
      <c r="K588" s="183"/>
      <c r="L588" s="183"/>
      <c r="M588" s="183"/>
      <c r="N588" s="183"/>
      <c r="O588" s="183"/>
      <c r="P588" s="183"/>
      <c r="Q588" s="183"/>
      <c r="R588" s="183"/>
      <c r="S588" s="183"/>
      <c r="T588" s="183"/>
      <c r="U588" s="183"/>
      <c r="V588" s="183"/>
      <c r="W588" s="183"/>
      <c r="X588" s="183"/>
      <c r="Y588" s="183"/>
      <c r="Z588" s="183"/>
    </row>
    <row r="589" spans="1:26" ht="15" customHeight="1" x14ac:dyDescent="0.25">
      <c r="A589" s="183"/>
      <c r="B589" s="183"/>
      <c r="C589" s="183"/>
      <c r="D589" s="183"/>
      <c r="E589" s="183"/>
      <c r="F589" s="183"/>
      <c r="G589" s="183"/>
      <c r="H589" s="183"/>
      <c r="I589" s="183"/>
      <c r="J589" s="183"/>
      <c r="K589" s="183"/>
      <c r="L589" s="183"/>
      <c r="M589" s="183"/>
      <c r="N589" s="183"/>
      <c r="O589" s="183"/>
      <c r="P589" s="183"/>
      <c r="Q589" s="183"/>
      <c r="R589" s="183"/>
      <c r="S589" s="183"/>
      <c r="T589" s="183"/>
      <c r="U589" s="183"/>
      <c r="V589" s="183"/>
      <c r="W589" s="183"/>
      <c r="X589" s="183"/>
      <c r="Y589" s="183"/>
      <c r="Z589" s="183"/>
    </row>
    <row r="590" spans="1:26" ht="15" customHeight="1" x14ac:dyDescent="0.25">
      <c r="A590" s="183"/>
      <c r="B590" s="183"/>
      <c r="C590" s="183"/>
      <c r="D590" s="183"/>
      <c r="E590" s="183"/>
      <c r="F590" s="183"/>
      <c r="G590" s="183"/>
      <c r="H590" s="183"/>
      <c r="I590" s="183"/>
      <c r="J590" s="183"/>
      <c r="K590" s="183"/>
      <c r="L590" s="183"/>
      <c r="M590" s="183"/>
      <c r="N590" s="183"/>
      <c r="O590" s="183"/>
      <c r="P590" s="183"/>
      <c r="Q590" s="183"/>
      <c r="R590" s="183"/>
      <c r="S590" s="183"/>
      <c r="T590" s="183"/>
      <c r="U590" s="183"/>
      <c r="V590" s="183"/>
      <c r="W590" s="183"/>
      <c r="X590" s="183"/>
      <c r="Y590" s="183"/>
      <c r="Z590" s="183"/>
    </row>
    <row r="591" spans="1:26" ht="15" customHeight="1" x14ac:dyDescent="0.25">
      <c r="A591" s="183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183"/>
      <c r="O591" s="183"/>
      <c r="P591" s="183"/>
      <c r="Q591" s="183"/>
      <c r="R591" s="183"/>
      <c r="S591" s="183"/>
      <c r="T591" s="183"/>
      <c r="U591" s="183"/>
      <c r="V591" s="183"/>
      <c r="W591" s="183"/>
      <c r="X591" s="183"/>
      <c r="Y591" s="183"/>
      <c r="Z591" s="183"/>
    </row>
    <row r="592" spans="1:26" ht="15" customHeight="1" x14ac:dyDescent="0.25">
      <c r="A592" s="183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183"/>
      <c r="O592" s="183"/>
      <c r="P592" s="183"/>
      <c r="Q592" s="183"/>
      <c r="R592" s="183"/>
      <c r="S592" s="183"/>
      <c r="T592" s="183"/>
      <c r="U592" s="183"/>
      <c r="V592" s="183"/>
      <c r="W592" s="183"/>
      <c r="X592" s="183"/>
      <c r="Y592" s="183"/>
      <c r="Z592" s="183"/>
    </row>
    <row r="593" spans="1:26" ht="15" customHeight="1" x14ac:dyDescent="0.25">
      <c r="A593" s="183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183"/>
      <c r="O593" s="183"/>
      <c r="P593" s="183"/>
      <c r="Q593" s="183"/>
      <c r="R593" s="183"/>
      <c r="S593" s="183"/>
      <c r="T593" s="183"/>
      <c r="U593" s="183"/>
      <c r="V593" s="183"/>
      <c r="W593" s="183"/>
      <c r="X593" s="183"/>
      <c r="Y593" s="183"/>
      <c r="Z593" s="183"/>
    </row>
    <row r="594" spans="1:26" ht="15" customHeight="1" x14ac:dyDescent="0.25">
      <c r="A594" s="183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183"/>
      <c r="O594" s="183"/>
      <c r="P594" s="183"/>
      <c r="Q594" s="183"/>
      <c r="R594" s="183"/>
      <c r="S594" s="183"/>
      <c r="T594" s="183"/>
      <c r="U594" s="183"/>
      <c r="V594" s="183"/>
      <c r="W594" s="183"/>
      <c r="X594" s="183"/>
      <c r="Y594" s="183"/>
      <c r="Z594" s="183"/>
    </row>
    <row r="595" spans="1:26" ht="15" customHeight="1" x14ac:dyDescent="0.25">
      <c r="A595" s="183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183"/>
      <c r="O595" s="183"/>
      <c r="P595" s="183"/>
      <c r="Q595" s="183"/>
      <c r="R595" s="183"/>
      <c r="S595" s="183"/>
      <c r="T595" s="183"/>
      <c r="U595" s="183"/>
      <c r="V595" s="183"/>
      <c r="W595" s="183"/>
      <c r="X595" s="183"/>
      <c r="Y595" s="183"/>
      <c r="Z595" s="183"/>
    </row>
    <row r="596" spans="1:26" ht="15" customHeight="1" x14ac:dyDescent="0.25">
      <c r="A596" s="183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183"/>
      <c r="O596" s="183"/>
      <c r="P596" s="183"/>
      <c r="Q596" s="183"/>
      <c r="R596" s="183"/>
      <c r="S596" s="183"/>
      <c r="T596" s="183"/>
      <c r="U596" s="183"/>
      <c r="V596" s="183"/>
      <c r="W596" s="183"/>
      <c r="X596" s="183"/>
      <c r="Y596" s="183"/>
      <c r="Z596" s="183"/>
    </row>
    <row r="597" spans="1:26" ht="15" customHeight="1" x14ac:dyDescent="0.25">
      <c r="A597" s="183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183"/>
      <c r="O597" s="183"/>
      <c r="P597" s="183"/>
      <c r="Q597" s="183"/>
      <c r="R597" s="183"/>
      <c r="S597" s="183"/>
      <c r="T597" s="183"/>
      <c r="U597" s="183"/>
      <c r="V597" s="183"/>
      <c r="W597" s="183"/>
      <c r="X597" s="183"/>
      <c r="Y597" s="183"/>
      <c r="Z597" s="183"/>
    </row>
    <row r="598" spans="1:26" ht="15" customHeight="1" x14ac:dyDescent="0.25">
      <c r="A598" s="183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183"/>
      <c r="O598" s="183"/>
      <c r="P598" s="183"/>
      <c r="Q598" s="183"/>
      <c r="R598" s="183"/>
      <c r="S598" s="183"/>
      <c r="T598" s="183"/>
      <c r="U598" s="183"/>
      <c r="V598" s="183"/>
      <c r="W598" s="183"/>
      <c r="X598" s="183"/>
      <c r="Y598" s="183"/>
      <c r="Z598" s="183"/>
    </row>
    <row r="599" spans="1:26" ht="15" customHeight="1" x14ac:dyDescent="0.25">
      <c r="A599" s="183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183"/>
      <c r="O599" s="183"/>
      <c r="P599" s="183"/>
      <c r="Q599" s="183"/>
      <c r="R599" s="183"/>
      <c r="S599" s="183"/>
      <c r="T599" s="183"/>
      <c r="U599" s="183"/>
      <c r="V599" s="183"/>
      <c r="W599" s="183"/>
      <c r="X599" s="183"/>
      <c r="Y599" s="183"/>
      <c r="Z599" s="183"/>
    </row>
    <row r="600" spans="1:26" ht="15" customHeight="1" x14ac:dyDescent="0.25">
      <c r="A600" s="183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183"/>
      <c r="O600" s="183"/>
      <c r="P600" s="183"/>
      <c r="Q600" s="183"/>
      <c r="R600" s="183"/>
      <c r="S600" s="183"/>
      <c r="T600" s="183"/>
      <c r="U600" s="183"/>
      <c r="V600" s="183"/>
      <c r="W600" s="183"/>
      <c r="X600" s="183"/>
      <c r="Y600" s="183"/>
      <c r="Z600" s="183"/>
    </row>
    <row r="601" spans="1:26" ht="15" customHeight="1" x14ac:dyDescent="0.25">
      <c r="A601" s="183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183"/>
      <c r="O601" s="183"/>
      <c r="P601" s="183"/>
      <c r="Q601" s="183"/>
      <c r="R601" s="183"/>
      <c r="S601" s="183"/>
      <c r="T601" s="183"/>
      <c r="U601" s="183"/>
      <c r="V601" s="183"/>
      <c r="W601" s="183"/>
      <c r="X601" s="183"/>
      <c r="Y601" s="183"/>
      <c r="Z601" s="183"/>
    </row>
    <row r="602" spans="1:26" ht="15" customHeight="1" x14ac:dyDescent="0.25">
      <c r="A602" s="183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183"/>
      <c r="O602" s="183"/>
      <c r="P602" s="183"/>
      <c r="Q602" s="183"/>
      <c r="R602" s="183"/>
      <c r="S602" s="183"/>
      <c r="T602" s="183"/>
      <c r="U602" s="183"/>
      <c r="V602" s="183"/>
      <c r="W602" s="183"/>
      <c r="X602" s="183"/>
      <c r="Y602" s="183"/>
      <c r="Z602" s="183"/>
    </row>
    <row r="603" spans="1:26" ht="15" customHeight="1" x14ac:dyDescent="0.25">
      <c r="A603" s="183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183"/>
      <c r="O603" s="183"/>
      <c r="P603" s="183"/>
      <c r="Q603" s="183"/>
      <c r="R603" s="183"/>
      <c r="S603" s="183"/>
      <c r="T603" s="183"/>
      <c r="U603" s="183"/>
      <c r="V603" s="183"/>
      <c r="W603" s="183"/>
      <c r="X603" s="183"/>
      <c r="Y603" s="183"/>
      <c r="Z603" s="183"/>
    </row>
    <row r="604" spans="1:26" ht="15" customHeight="1" x14ac:dyDescent="0.25">
      <c r="A604" s="183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183"/>
      <c r="O604" s="183"/>
      <c r="P604" s="183"/>
      <c r="Q604" s="183"/>
      <c r="R604" s="183"/>
      <c r="S604" s="183"/>
      <c r="T604" s="183"/>
      <c r="U604" s="183"/>
      <c r="V604" s="183"/>
      <c r="W604" s="183"/>
      <c r="X604" s="183"/>
      <c r="Y604" s="183"/>
      <c r="Z604" s="183"/>
    </row>
    <row r="605" spans="1:26" ht="15" customHeight="1" x14ac:dyDescent="0.25">
      <c r="A605" s="183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183"/>
      <c r="O605" s="183"/>
      <c r="P605" s="183"/>
      <c r="Q605" s="183"/>
      <c r="R605" s="183"/>
      <c r="S605" s="183"/>
      <c r="T605" s="183"/>
      <c r="U605" s="183"/>
      <c r="V605" s="183"/>
      <c r="W605" s="183"/>
      <c r="X605" s="183"/>
      <c r="Y605" s="183"/>
      <c r="Z605" s="183"/>
    </row>
    <row r="606" spans="1:26" ht="15" customHeight="1" x14ac:dyDescent="0.25">
      <c r="A606" s="183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183"/>
      <c r="O606" s="183"/>
      <c r="P606" s="183"/>
      <c r="Q606" s="183"/>
      <c r="R606" s="183"/>
      <c r="S606" s="183"/>
      <c r="T606" s="183"/>
      <c r="U606" s="183"/>
      <c r="V606" s="183"/>
      <c r="W606" s="183"/>
      <c r="X606" s="183"/>
      <c r="Y606" s="183"/>
      <c r="Z606" s="183"/>
    </row>
    <row r="607" spans="1:26" ht="15" customHeight="1" x14ac:dyDescent="0.25">
      <c r="A607" s="183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183"/>
      <c r="O607" s="183"/>
      <c r="P607" s="183"/>
      <c r="Q607" s="183"/>
      <c r="R607" s="183"/>
      <c r="S607" s="183"/>
      <c r="T607" s="183"/>
      <c r="U607" s="183"/>
      <c r="V607" s="183"/>
      <c r="W607" s="183"/>
      <c r="X607" s="183"/>
      <c r="Y607" s="183"/>
      <c r="Z607" s="183"/>
    </row>
    <row r="608" spans="1:26" ht="15" customHeight="1" x14ac:dyDescent="0.25">
      <c r="A608" s="183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183"/>
      <c r="O608" s="183"/>
      <c r="P608" s="183"/>
      <c r="Q608" s="183"/>
      <c r="R608" s="183"/>
      <c r="S608" s="183"/>
      <c r="T608" s="183"/>
      <c r="U608" s="183"/>
      <c r="V608" s="183"/>
      <c r="W608" s="183"/>
      <c r="X608" s="183"/>
      <c r="Y608" s="183"/>
      <c r="Z608" s="183"/>
    </row>
    <row r="609" spans="1:26" ht="15" customHeight="1" x14ac:dyDescent="0.25">
      <c r="A609" s="183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183"/>
      <c r="O609" s="183"/>
      <c r="P609" s="183"/>
      <c r="Q609" s="183"/>
      <c r="R609" s="183"/>
      <c r="S609" s="183"/>
      <c r="T609" s="183"/>
      <c r="U609" s="183"/>
      <c r="V609" s="183"/>
      <c r="W609" s="183"/>
      <c r="X609" s="183"/>
      <c r="Y609" s="183"/>
      <c r="Z609" s="183"/>
    </row>
    <row r="610" spans="1:26" ht="15" customHeight="1" x14ac:dyDescent="0.25">
      <c r="A610" s="183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183"/>
      <c r="O610" s="183"/>
      <c r="P610" s="183"/>
      <c r="Q610" s="183"/>
      <c r="R610" s="183"/>
      <c r="S610" s="183"/>
      <c r="T610" s="183"/>
      <c r="U610" s="183"/>
      <c r="V610" s="183"/>
      <c r="W610" s="183"/>
      <c r="X610" s="183"/>
      <c r="Y610" s="183"/>
      <c r="Z610" s="183"/>
    </row>
    <row r="611" spans="1:26" ht="15" customHeight="1" x14ac:dyDescent="0.25">
      <c r="A611" s="183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183"/>
      <c r="O611" s="183"/>
      <c r="P611" s="183"/>
      <c r="Q611" s="183"/>
      <c r="R611" s="183"/>
      <c r="S611" s="183"/>
      <c r="T611" s="183"/>
      <c r="U611" s="183"/>
      <c r="V611" s="183"/>
      <c r="W611" s="183"/>
      <c r="X611" s="183"/>
      <c r="Y611" s="183"/>
      <c r="Z611" s="183"/>
    </row>
    <row r="612" spans="1:26" ht="15" customHeight="1" x14ac:dyDescent="0.25">
      <c r="A612" s="183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183"/>
      <c r="O612" s="183"/>
      <c r="P612" s="183"/>
      <c r="Q612" s="183"/>
      <c r="R612" s="183"/>
      <c r="S612" s="183"/>
      <c r="T612" s="183"/>
      <c r="U612" s="183"/>
      <c r="V612" s="183"/>
      <c r="W612" s="183"/>
      <c r="X612" s="183"/>
      <c r="Y612" s="183"/>
      <c r="Z612" s="183"/>
    </row>
    <row r="613" spans="1:26" ht="15" customHeight="1" x14ac:dyDescent="0.25">
      <c r="A613" s="183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183"/>
      <c r="O613" s="183"/>
      <c r="P613" s="183"/>
      <c r="Q613" s="183"/>
      <c r="R613" s="183"/>
      <c r="S613" s="183"/>
      <c r="T613" s="183"/>
      <c r="U613" s="183"/>
      <c r="V613" s="183"/>
      <c r="W613" s="183"/>
      <c r="X613" s="183"/>
      <c r="Y613" s="183"/>
      <c r="Z613" s="183"/>
    </row>
    <row r="614" spans="1:26" ht="15" customHeight="1" x14ac:dyDescent="0.25">
      <c r="A614" s="183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183"/>
      <c r="O614" s="183"/>
      <c r="P614" s="183"/>
      <c r="Q614" s="183"/>
      <c r="R614" s="183"/>
      <c r="S614" s="183"/>
      <c r="T614" s="183"/>
      <c r="U614" s="183"/>
      <c r="V614" s="183"/>
      <c r="W614" s="183"/>
      <c r="X614" s="183"/>
      <c r="Y614" s="183"/>
      <c r="Z614" s="183"/>
    </row>
    <row r="615" spans="1:26" ht="15" customHeight="1" x14ac:dyDescent="0.25">
      <c r="A615" s="183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183"/>
      <c r="O615" s="183"/>
      <c r="P615" s="183"/>
      <c r="Q615" s="183"/>
      <c r="R615" s="183"/>
      <c r="S615" s="183"/>
      <c r="T615" s="183"/>
      <c r="U615" s="183"/>
      <c r="V615" s="183"/>
      <c r="W615" s="183"/>
      <c r="X615" s="183"/>
      <c r="Y615" s="183"/>
      <c r="Z615" s="183"/>
    </row>
    <row r="616" spans="1:26" ht="15" customHeight="1" x14ac:dyDescent="0.25">
      <c r="A616" s="183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183"/>
      <c r="O616" s="183"/>
      <c r="P616" s="183"/>
      <c r="Q616" s="183"/>
      <c r="R616" s="183"/>
      <c r="S616" s="183"/>
      <c r="T616" s="183"/>
      <c r="U616" s="183"/>
      <c r="V616" s="183"/>
      <c r="W616" s="183"/>
      <c r="X616" s="183"/>
      <c r="Y616" s="183"/>
      <c r="Z616" s="183"/>
    </row>
    <row r="617" spans="1:26" ht="15" customHeight="1" x14ac:dyDescent="0.25">
      <c r="A617" s="183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183"/>
      <c r="O617" s="183"/>
      <c r="P617" s="183"/>
      <c r="Q617" s="183"/>
      <c r="R617" s="183"/>
      <c r="S617" s="183"/>
      <c r="T617" s="183"/>
      <c r="U617" s="183"/>
      <c r="V617" s="183"/>
      <c r="W617" s="183"/>
      <c r="X617" s="183"/>
      <c r="Y617" s="183"/>
      <c r="Z617" s="183"/>
    </row>
    <row r="618" spans="1:26" ht="15" customHeight="1" x14ac:dyDescent="0.25">
      <c r="A618" s="183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183"/>
      <c r="O618" s="183"/>
      <c r="P618" s="183"/>
      <c r="Q618" s="183"/>
      <c r="R618" s="183"/>
      <c r="S618" s="183"/>
      <c r="T618" s="183"/>
      <c r="U618" s="183"/>
      <c r="V618" s="183"/>
      <c r="W618" s="183"/>
      <c r="X618" s="183"/>
      <c r="Y618" s="183"/>
      <c r="Z618" s="183"/>
    </row>
    <row r="619" spans="1:26" ht="15" customHeight="1" x14ac:dyDescent="0.25">
      <c r="A619" s="183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183"/>
      <c r="O619" s="183"/>
      <c r="P619" s="183"/>
      <c r="Q619" s="183"/>
      <c r="R619" s="183"/>
      <c r="S619" s="183"/>
      <c r="T619" s="183"/>
      <c r="U619" s="183"/>
      <c r="V619" s="183"/>
      <c r="W619" s="183"/>
      <c r="X619" s="183"/>
      <c r="Y619" s="183"/>
      <c r="Z619" s="183"/>
    </row>
    <row r="620" spans="1:26" ht="15" customHeight="1" x14ac:dyDescent="0.25">
      <c r="A620" s="183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183"/>
      <c r="O620" s="183"/>
      <c r="P620" s="183"/>
      <c r="Q620" s="183"/>
      <c r="R620" s="183"/>
      <c r="S620" s="183"/>
      <c r="T620" s="183"/>
      <c r="U620" s="183"/>
      <c r="V620" s="183"/>
      <c r="W620" s="183"/>
      <c r="X620" s="183"/>
      <c r="Y620" s="183"/>
      <c r="Z620" s="183"/>
    </row>
    <row r="621" spans="1:26" ht="15" customHeight="1" x14ac:dyDescent="0.25">
      <c r="A621" s="183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183"/>
      <c r="O621" s="183"/>
      <c r="P621" s="183"/>
      <c r="Q621" s="183"/>
      <c r="R621" s="183"/>
      <c r="S621" s="183"/>
      <c r="T621" s="183"/>
      <c r="U621" s="183"/>
      <c r="V621" s="183"/>
      <c r="W621" s="183"/>
      <c r="X621" s="183"/>
      <c r="Y621" s="183"/>
      <c r="Z621" s="183"/>
    </row>
    <row r="622" spans="1:26" ht="15" customHeight="1" x14ac:dyDescent="0.25">
      <c r="A622" s="183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183"/>
      <c r="O622" s="183"/>
      <c r="P622" s="183"/>
      <c r="Q622" s="183"/>
      <c r="R622" s="183"/>
      <c r="S622" s="183"/>
      <c r="T622" s="183"/>
      <c r="U622" s="183"/>
      <c r="V622" s="183"/>
      <c r="W622" s="183"/>
      <c r="X622" s="183"/>
      <c r="Y622" s="183"/>
      <c r="Z622" s="183"/>
    </row>
    <row r="623" spans="1:26" ht="15" customHeight="1" x14ac:dyDescent="0.25">
      <c r="A623" s="183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183"/>
      <c r="O623" s="183"/>
      <c r="P623" s="183"/>
      <c r="Q623" s="183"/>
      <c r="R623" s="183"/>
      <c r="S623" s="183"/>
      <c r="T623" s="183"/>
      <c r="U623" s="183"/>
      <c r="V623" s="183"/>
      <c r="W623" s="183"/>
      <c r="X623" s="183"/>
      <c r="Y623" s="183"/>
      <c r="Z623" s="183"/>
    </row>
    <row r="624" spans="1:26" ht="15" customHeight="1" x14ac:dyDescent="0.25">
      <c r="A624" s="183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183"/>
      <c r="O624" s="183"/>
      <c r="P624" s="183"/>
      <c r="Q624" s="183"/>
      <c r="R624" s="183"/>
      <c r="S624" s="183"/>
      <c r="T624" s="183"/>
      <c r="U624" s="183"/>
      <c r="V624" s="183"/>
      <c r="W624" s="183"/>
      <c r="X624" s="183"/>
      <c r="Y624" s="183"/>
      <c r="Z624" s="183"/>
    </row>
    <row r="625" spans="1:26" ht="15" customHeight="1" x14ac:dyDescent="0.25">
      <c r="A625" s="183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183"/>
      <c r="O625" s="183"/>
      <c r="P625" s="183"/>
      <c r="Q625" s="183"/>
      <c r="R625" s="183"/>
      <c r="S625" s="183"/>
      <c r="T625" s="183"/>
      <c r="U625" s="183"/>
      <c r="V625" s="183"/>
      <c r="W625" s="183"/>
      <c r="X625" s="183"/>
      <c r="Y625" s="183"/>
      <c r="Z625" s="183"/>
    </row>
    <row r="626" spans="1:26" ht="15" customHeight="1" x14ac:dyDescent="0.25">
      <c r="A626" s="183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183"/>
      <c r="O626" s="183"/>
      <c r="P626" s="183"/>
      <c r="Q626" s="183"/>
      <c r="R626" s="183"/>
      <c r="S626" s="183"/>
      <c r="T626" s="183"/>
      <c r="U626" s="183"/>
      <c r="V626" s="183"/>
      <c r="W626" s="183"/>
      <c r="X626" s="183"/>
      <c r="Y626" s="183"/>
      <c r="Z626" s="183"/>
    </row>
    <row r="627" spans="1:26" ht="15" customHeight="1" x14ac:dyDescent="0.25">
      <c r="A627" s="183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183"/>
      <c r="O627" s="183"/>
      <c r="P627" s="183"/>
      <c r="Q627" s="183"/>
      <c r="R627" s="183"/>
      <c r="S627" s="183"/>
      <c r="T627" s="183"/>
      <c r="U627" s="183"/>
      <c r="V627" s="183"/>
      <c r="W627" s="183"/>
      <c r="X627" s="183"/>
      <c r="Y627" s="183"/>
      <c r="Z627" s="183"/>
    </row>
    <row r="628" spans="1:26" ht="15" customHeight="1" x14ac:dyDescent="0.25">
      <c r="A628" s="183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183"/>
      <c r="O628" s="183"/>
      <c r="P628" s="183"/>
      <c r="Q628" s="183"/>
      <c r="R628" s="183"/>
      <c r="S628" s="183"/>
      <c r="T628" s="183"/>
      <c r="U628" s="183"/>
      <c r="V628" s="183"/>
      <c r="W628" s="183"/>
      <c r="X628" s="183"/>
      <c r="Y628" s="183"/>
      <c r="Z628" s="183"/>
    </row>
    <row r="629" spans="1:26" ht="15" customHeight="1" x14ac:dyDescent="0.25">
      <c r="A629" s="183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183"/>
      <c r="O629" s="183"/>
      <c r="P629" s="183"/>
      <c r="Q629" s="183"/>
      <c r="R629" s="183"/>
      <c r="S629" s="183"/>
      <c r="T629" s="183"/>
      <c r="U629" s="183"/>
      <c r="V629" s="183"/>
      <c r="W629" s="183"/>
      <c r="X629" s="183"/>
      <c r="Y629" s="183"/>
      <c r="Z629" s="183"/>
    </row>
    <row r="630" spans="1:26" ht="15" customHeight="1" x14ac:dyDescent="0.25">
      <c r="A630" s="183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183"/>
      <c r="O630" s="183"/>
      <c r="P630" s="183"/>
      <c r="Q630" s="183"/>
      <c r="R630" s="183"/>
      <c r="S630" s="183"/>
      <c r="T630" s="183"/>
      <c r="U630" s="183"/>
      <c r="V630" s="183"/>
      <c r="W630" s="183"/>
      <c r="X630" s="183"/>
      <c r="Y630" s="183"/>
      <c r="Z630" s="183"/>
    </row>
    <row r="631" spans="1:26" ht="15" customHeight="1" x14ac:dyDescent="0.25">
      <c r="A631" s="183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183"/>
      <c r="O631" s="183"/>
      <c r="P631" s="183"/>
      <c r="Q631" s="183"/>
      <c r="R631" s="183"/>
      <c r="S631" s="183"/>
      <c r="T631" s="183"/>
      <c r="U631" s="183"/>
      <c r="V631" s="183"/>
      <c r="W631" s="183"/>
      <c r="X631" s="183"/>
      <c r="Y631" s="183"/>
      <c r="Z631" s="183"/>
    </row>
    <row r="632" spans="1:26" ht="15" customHeight="1" x14ac:dyDescent="0.25">
      <c r="A632" s="183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183"/>
      <c r="O632" s="183"/>
      <c r="P632" s="183"/>
      <c r="Q632" s="183"/>
      <c r="R632" s="183"/>
      <c r="S632" s="183"/>
      <c r="T632" s="183"/>
      <c r="U632" s="183"/>
      <c r="V632" s="183"/>
      <c r="W632" s="183"/>
      <c r="X632" s="183"/>
      <c r="Y632" s="183"/>
      <c r="Z632" s="183"/>
    </row>
    <row r="633" spans="1:26" ht="15" customHeight="1" x14ac:dyDescent="0.25">
      <c r="A633" s="183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183"/>
      <c r="O633" s="183"/>
      <c r="P633" s="183"/>
      <c r="Q633" s="183"/>
      <c r="R633" s="183"/>
      <c r="S633" s="183"/>
      <c r="T633" s="183"/>
      <c r="U633" s="183"/>
      <c r="V633" s="183"/>
      <c r="W633" s="183"/>
      <c r="X633" s="183"/>
      <c r="Y633" s="183"/>
      <c r="Z633" s="183"/>
    </row>
    <row r="634" spans="1:26" ht="15" customHeight="1" x14ac:dyDescent="0.25">
      <c r="A634" s="183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183"/>
      <c r="O634" s="183"/>
      <c r="P634" s="183"/>
      <c r="Q634" s="183"/>
      <c r="R634" s="183"/>
      <c r="S634" s="183"/>
      <c r="T634" s="183"/>
      <c r="U634" s="183"/>
      <c r="V634" s="183"/>
      <c r="W634" s="183"/>
      <c r="X634" s="183"/>
      <c r="Y634" s="183"/>
      <c r="Z634" s="183"/>
    </row>
    <row r="635" spans="1:26" ht="15" customHeight="1" x14ac:dyDescent="0.25">
      <c r="A635" s="183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183"/>
      <c r="O635" s="183"/>
      <c r="P635" s="183"/>
      <c r="Q635" s="183"/>
      <c r="R635" s="183"/>
      <c r="S635" s="183"/>
      <c r="T635" s="183"/>
      <c r="U635" s="183"/>
      <c r="V635" s="183"/>
      <c r="W635" s="183"/>
      <c r="X635" s="183"/>
      <c r="Y635" s="183"/>
      <c r="Z635" s="183"/>
    </row>
    <row r="636" spans="1:26" ht="15" customHeight="1" x14ac:dyDescent="0.25">
      <c r="A636" s="183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183"/>
      <c r="O636" s="183"/>
      <c r="P636" s="183"/>
      <c r="Q636" s="183"/>
      <c r="R636" s="183"/>
      <c r="S636" s="183"/>
      <c r="T636" s="183"/>
      <c r="U636" s="183"/>
      <c r="V636" s="183"/>
      <c r="W636" s="183"/>
      <c r="X636" s="183"/>
      <c r="Y636" s="183"/>
      <c r="Z636" s="183"/>
    </row>
    <row r="637" spans="1:26" ht="15" customHeight="1" x14ac:dyDescent="0.25">
      <c r="A637" s="183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183"/>
      <c r="O637" s="183"/>
      <c r="P637" s="183"/>
      <c r="Q637" s="183"/>
      <c r="R637" s="183"/>
      <c r="S637" s="183"/>
      <c r="T637" s="183"/>
      <c r="U637" s="183"/>
      <c r="V637" s="183"/>
      <c r="W637" s="183"/>
      <c r="X637" s="183"/>
      <c r="Y637" s="183"/>
      <c r="Z637" s="183"/>
    </row>
    <row r="638" spans="1:26" ht="15" customHeight="1" x14ac:dyDescent="0.25">
      <c r="A638" s="183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183"/>
      <c r="O638" s="183"/>
      <c r="P638" s="183"/>
      <c r="Q638" s="183"/>
      <c r="R638" s="183"/>
      <c r="S638" s="183"/>
      <c r="T638" s="183"/>
      <c r="U638" s="183"/>
      <c r="V638" s="183"/>
      <c r="W638" s="183"/>
      <c r="X638" s="183"/>
      <c r="Y638" s="183"/>
      <c r="Z638" s="183"/>
    </row>
    <row r="639" spans="1:26" ht="15" customHeight="1" x14ac:dyDescent="0.25">
      <c r="A639" s="183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183"/>
      <c r="O639" s="183"/>
      <c r="P639" s="183"/>
      <c r="Q639" s="183"/>
      <c r="R639" s="183"/>
      <c r="S639" s="183"/>
      <c r="T639" s="183"/>
      <c r="U639" s="183"/>
      <c r="V639" s="183"/>
      <c r="W639" s="183"/>
      <c r="X639" s="183"/>
      <c r="Y639" s="183"/>
      <c r="Z639" s="183"/>
    </row>
    <row r="640" spans="1:26" ht="15" customHeight="1" x14ac:dyDescent="0.25">
      <c r="A640" s="183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183"/>
      <c r="O640" s="183"/>
      <c r="P640" s="183"/>
      <c r="Q640" s="183"/>
      <c r="R640" s="183"/>
      <c r="S640" s="183"/>
      <c r="T640" s="183"/>
      <c r="U640" s="183"/>
      <c r="V640" s="183"/>
      <c r="W640" s="183"/>
      <c r="X640" s="183"/>
      <c r="Y640" s="183"/>
      <c r="Z640" s="183"/>
    </row>
    <row r="641" spans="1:26" ht="15" customHeight="1" x14ac:dyDescent="0.25">
      <c r="A641" s="183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183"/>
      <c r="O641" s="183"/>
      <c r="P641" s="183"/>
      <c r="Q641" s="183"/>
      <c r="R641" s="183"/>
      <c r="S641" s="183"/>
      <c r="T641" s="183"/>
      <c r="U641" s="183"/>
      <c r="V641" s="183"/>
      <c r="W641" s="183"/>
      <c r="X641" s="183"/>
      <c r="Y641" s="183"/>
      <c r="Z641" s="183"/>
    </row>
    <row r="642" spans="1:26" ht="15" customHeight="1" x14ac:dyDescent="0.25">
      <c r="A642" s="183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183"/>
      <c r="O642" s="183"/>
      <c r="P642" s="183"/>
      <c r="Q642" s="183"/>
      <c r="R642" s="183"/>
      <c r="S642" s="183"/>
      <c r="T642" s="183"/>
      <c r="U642" s="183"/>
      <c r="V642" s="183"/>
      <c r="W642" s="183"/>
      <c r="X642" s="183"/>
      <c r="Y642" s="183"/>
      <c r="Z642" s="183"/>
    </row>
    <row r="643" spans="1:26" ht="15" customHeight="1" x14ac:dyDescent="0.25">
      <c r="A643" s="183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183"/>
      <c r="O643" s="183"/>
      <c r="P643" s="183"/>
      <c r="Q643" s="183"/>
      <c r="R643" s="183"/>
      <c r="S643" s="183"/>
      <c r="T643" s="183"/>
      <c r="U643" s="183"/>
      <c r="V643" s="183"/>
      <c r="W643" s="183"/>
      <c r="X643" s="183"/>
      <c r="Y643" s="183"/>
      <c r="Z643" s="183"/>
    </row>
    <row r="644" spans="1:26" ht="15" customHeight="1" x14ac:dyDescent="0.25">
      <c r="A644" s="183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183"/>
      <c r="O644" s="183"/>
      <c r="P644" s="183"/>
      <c r="Q644" s="183"/>
      <c r="R644" s="183"/>
      <c r="S644" s="183"/>
      <c r="T644" s="183"/>
      <c r="U644" s="183"/>
      <c r="V644" s="183"/>
      <c r="W644" s="183"/>
      <c r="X644" s="183"/>
      <c r="Y644" s="183"/>
      <c r="Z644" s="183"/>
    </row>
    <row r="645" spans="1:26" ht="15" customHeight="1" x14ac:dyDescent="0.25">
      <c r="A645" s="183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183"/>
      <c r="O645" s="183"/>
      <c r="P645" s="183"/>
      <c r="Q645" s="183"/>
      <c r="R645" s="183"/>
      <c r="S645" s="183"/>
      <c r="T645" s="183"/>
      <c r="U645" s="183"/>
      <c r="V645" s="183"/>
      <c r="W645" s="183"/>
      <c r="X645" s="183"/>
      <c r="Y645" s="183"/>
      <c r="Z645" s="183"/>
    </row>
    <row r="646" spans="1:26" ht="15" customHeight="1" x14ac:dyDescent="0.25">
      <c r="A646" s="183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183"/>
      <c r="O646" s="183"/>
      <c r="P646" s="183"/>
      <c r="Q646" s="183"/>
      <c r="R646" s="183"/>
      <c r="S646" s="183"/>
      <c r="T646" s="183"/>
      <c r="U646" s="183"/>
      <c r="V646" s="183"/>
      <c r="W646" s="183"/>
      <c r="X646" s="183"/>
      <c r="Y646" s="183"/>
      <c r="Z646" s="183"/>
    </row>
    <row r="647" spans="1:26" ht="15" customHeight="1" x14ac:dyDescent="0.25">
      <c r="A647" s="183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183"/>
      <c r="O647" s="183"/>
      <c r="P647" s="183"/>
      <c r="Q647" s="183"/>
      <c r="R647" s="183"/>
      <c r="S647" s="183"/>
      <c r="T647" s="183"/>
      <c r="U647" s="183"/>
      <c r="V647" s="183"/>
      <c r="W647" s="183"/>
      <c r="X647" s="183"/>
      <c r="Y647" s="183"/>
      <c r="Z647" s="183"/>
    </row>
    <row r="648" spans="1:26" ht="15" customHeight="1" x14ac:dyDescent="0.25">
      <c r="A648" s="183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183"/>
      <c r="O648" s="183"/>
      <c r="P648" s="183"/>
      <c r="Q648" s="183"/>
      <c r="R648" s="183"/>
      <c r="S648" s="183"/>
      <c r="T648" s="183"/>
      <c r="U648" s="183"/>
      <c r="V648" s="183"/>
      <c r="W648" s="183"/>
      <c r="X648" s="183"/>
      <c r="Y648" s="183"/>
      <c r="Z648" s="183"/>
    </row>
    <row r="649" spans="1:26" ht="15" customHeight="1" x14ac:dyDescent="0.25">
      <c r="A649" s="183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183"/>
      <c r="O649" s="183"/>
      <c r="P649" s="183"/>
      <c r="Q649" s="183"/>
      <c r="R649" s="183"/>
      <c r="S649" s="183"/>
      <c r="T649" s="183"/>
      <c r="U649" s="183"/>
      <c r="V649" s="183"/>
      <c r="W649" s="183"/>
      <c r="X649" s="183"/>
      <c r="Y649" s="183"/>
      <c r="Z649" s="183"/>
    </row>
    <row r="650" spans="1:26" ht="15" customHeight="1" x14ac:dyDescent="0.25">
      <c r="A650" s="183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183"/>
      <c r="O650" s="183"/>
      <c r="P650" s="183"/>
      <c r="Q650" s="183"/>
      <c r="R650" s="183"/>
      <c r="S650" s="183"/>
      <c r="T650" s="183"/>
      <c r="U650" s="183"/>
      <c r="V650" s="183"/>
      <c r="W650" s="183"/>
      <c r="X650" s="183"/>
      <c r="Y650" s="183"/>
      <c r="Z650" s="183"/>
    </row>
    <row r="651" spans="1:26" ht="15" customHeight="1" x14ac:dyDescent="0.25">
      <c r="A651" s="183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183"/>
      <c r="O651" s="183"/>
      <c r="P651" s="183"/>
      <c r="Q651" s="183"/>
      <c r="R651" s="183"/>
      <c r="S651" s="183"/>
      <c r="T651" s="183"/>
      <c r="U651" s="183"/>
      <c r="V651" s="183"/>
      <c r="W651" s="183"/>
      <c r="X651" s="183"/>
      <c r="Y651" s="183"/>
      <c r="Z651" s="183"/>
    </row>
    <row r="652" spans="1:26" ht="15" customHeight="1" x14ac:dyDescent="0.25">
      <c r="A652" s="183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183"/>
      <c r="O652" s="183"/>
      <c r="P652" s="183"/>
      <c r="Q652" s="183"/>
      <c r="R652" s="183"/>
      <c r="S652" s="183"/>
      <c r="T652" s="183"/>
      <c r="U652" s="183"/>
      <c r="V652" s="183"/>
      <c r="W652" s="183"/>
      <c r="X652" s="183"/>
      <c r="Y652" s="183"/>
      <c r="Z652" s="183"/>
    </row>
    <row r="653" spans="1:26" ht="15" customHeight="1" x14ac:dyDescent="0.25">
      <c r="A653" s="183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183"/>
      <c r="O653" s="183"/>
      <c r="P653" s="183"/>
      <c r="Q653" s="183"/>
      <c r="R653" s="183"/>
      <c r="S653" s="183"/>
      <c r="T653" s="183"/>
      <c r="U653" s="183"/>
      <c r="V653" s="183"/>
      <c r="W653" s="183"/>
      <c r="X653" s="183"/>
      <c r="Y653" s="183"/>
      <c r="Z653" s="183"/>
    </row>
    <row r="654" spans="1:26" ht="15" customHeight="1" x14ac:dyDescent="0.25">
      <c r="A654" s="183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183"/>
      <c r="O654" s="183"/>
      <c r="P654" s="183"/>
      <c r="Q654" s="183"/>
      <c r="R654" s="183"/>
      <c r="S654" s="183"/>
      <c r="T654" s="183"/>
      <c r="U654" s="183"/>
      <c r="V654" s="183"/>
      <c r="W654" s="183"/>
      <c r="X654" s="183"/>
      <c r="Y654" s="183"/>
      <c r="Z654" s="183"/>
    </row>
    <row r="655" spans="1:26" ht="15" customHeight="1" x14ac:dyDescent="0.25">
      <c r="A655" s="183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183"/>
      <c r="O655" s="183"/>
      <c r="P655" s="183"/>
      <c r="Q655" s="183"/>
      <c r="R655" s="183"/>
      <c r="S655" s="183"/>
      <c r="T655" s="183"/>
      <c r="U655" s="183"/>
      <c r="V655" s="183"/>
      <c r="W655" s="183"/>
      <c r="X655" s="183"/>
      <c r="Y655" s="183"/>
      <c r="Z655" s="183"/>
    </row>
    <row r="656" spans="1:26" ht="15" customHeight="1" x14ac:dyDescent="0.25">
      <c r="A656" s="183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183"/>
      <c r="O656" s="183"/>
      <c r="P656" s="183"/>
      <c r="Q656" s="183"/>
      <c r="R656" s="183"/>
      <c r="S656" s="183"/>
      <c r="T656" s="183"/>
      <c r="U656" s="183"/>
      <c r="V656" s="183"/>
      <c r="W656" s="183"/>
      <c r="X656" s="183"/>
      <c r="Y656" s="183"/>
      <c r="Z656" s="183"/>
    </row>
    <row r="657" spans="1:26" ht="15" customHeight="1" x14ac:dyDescent="0.25">
      <c r="A657" s="183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183"/>
      <c r="O657" s="183"/>
      <c r="P657" s="183"/>
      <c r="Q657" s="183"/>
      <c r="R657" s="183"/>
      <c r="S657" s="183"/>
      <c r="T657" s="183"/>
      <c r="U657" s="183"/>
      <c r="V657" s="183"/>
      <c r="W657" s="183"/>
      <c r="X657" s="183"/>
      <c r="Y657" s="183"/>
      <c r="Z657" s="183"/>
    </row>
    <row r="658" spans="1:26" ht="15" customHeight="1" x14ac:dyDescent="0.25">
      <c r="A658" s="183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183"/>
      <c r="O658" s="183"/>
      <c r="P658" s="183"/>
      <c r="Q658" s="183"/>
      <c r="R658" s="183"/>
      <c r="S658" s="183"/>
      <c r="T658" s="183"/>
      <c r="U658" s="183"/>
      <c r="V658" s="183"/>
      <c r="W658" s="183"/>
      <c r="X658" s="183"/>
      <c r="Y658" s="183"/>
      <c r="Z658" s="183"/>
    </row>
    <row r="659" spans="1:26" ht="15" customHeight="1" x14ac:dyDescent="0.25">
      <c r="A659" s="183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183"/>
      <c r="O659" s="183"/>
      <c r="P659" s="183"/>
      <c r="Q659" s="183"/>
      <c r="R659" s="183"/>
      <c r="S659" s="183"/>
      <c r="T659" s="183"/>
      <c r="U659" s="183"/>
      <c r="V659" s="183"/>
      <c r="W659" s="183"/>
      <c r="X659" s="183"/>
      <c r="Y659" s="183"/>
      <c r="Z659" s="183"/>
    </row>
    <row r="660" spans="1:26" ht="15" customHeight="1" x14ac:dyDescent="0.25">
      <c r="A660" s="183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183"/>
      <c r="O660" s="183"/>
      <c r="P660" s="183"/>
      <c r="Q660" s="183"/>
      <c r="R660" s="183"/>
      <c r="S660" s="183"/>
      <c r="T660" s="183"/>
      <c r="U660" s="183"/>
      <c r="V660" s="183"/>
      <c r="W660" s="183"/>
      <c r="X660" s="183"/>
      <c r="Y660" s="183"/>
      <c r="Z660" s="183"/>
    </row>
    <row r="661" spans="1:26" ht="15" customHeight="1" x14ac:dyDescent="0.25">
      <c r="A661" s="183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183"/>
      <c r="O661" s="183"/>
      <c r="P661" s="183"/>
      <c r="Q661" s="183"/>
      <c r="R661" s="183"/>
      <c r="S661" s="183"/>
      <c r="T661" s="183"/>
      <c r="U661" s="183"/>
      <c r="V661" s="183"/>
      <c r="W661" s="183"/>
      <c r="X661" s="183"/>
      <c r="Y661" s="183"/>
      <c r="Z661" s="183"/>
    </row>
    <row r="662" spans="1:26" ht="15" customHeight="1" x14ac:dyDescent="0.25">
      <c r="A662" s="183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183"/>
      <c r="O662" s="183"/>
      <c r="P662" s="183"/>
      <c r="Q662" s="183"/>
      <c r="R662" s="183"/>
      <c r="S662" s="183"/>
      <c r="T662" s="183"/>
      <c r="U662" s="183"/>
      <c r="V662" s="183"/>
      <c r="W662" s="183"/>
      <c r="X662" s="183"/>
      <c r="Y662" s="183"/>
      <c r="Z662" s="183"/>
    </row>
    <row r="663" spans="1:26" ht="15" customHeight="1" x14ac:dyDescent="0.25">
      <c r="A663" s="183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183"/>
      <c r="O663" s="183"/>
      <c r="P663" s="183"/>
      <c r="Q663" s="183"/>
      <c r="R663" s="183"/>
      <c r="S663" s="183"/>
      <c r="T663" s="183"/>
      <c r="U663" s="183"/>
      <c r="V663" s="183"/>
      <c r="W663" s="183"/>
      <c r="X663" s="183"/>
      <c r="Y663" s="183"/>
      <c r="Z663" s="183"/>
    </row>
    <row r="664" spans="1:26" ht="15" customHeight="1" x14ac:dyDescent="0.25">
      <c r="A664" s="183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183"/>
      <c r="O664" s="183"/>
      <c r="P664" s="183"/>
      <c r="Q664" s="183"/>
      <c r="R664" s="183"/>
      <c r="S664" s="183"/>
      <c r="T664" s="183"/>
      <c r="U664" s="183"/>
      <c r="V664" s="183"/>
      <c r="W664" s="183"/>
      <c r="X664" s="183"/>
      <c r="Y664" s="183"/>
      <c r="Z664" s="183"/>
    </row>
    <row r="665" spans="1:26" ht="15" customHeight="1" x14ac:dyDescent="0.25">
      <c r="A665" s="183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183"/>
      <c r="O665" s="183"/>
      <c r="P665" s="183"/>
      <c r="Q665" s="183"/>
      <c r="R665" s="183"/>
      <c r="S665" s="183"/>
      <c r="T665" s="183"/>
      <c r="U665" s="183"/>
      <c r="V665" s="183"/>
      <c r="W665" s="183"/>
      <c r="X665" s="183"/>
      <c r="Y665" s="183"/>
      <c r="Z665" s="183"/>
    </row>
    <row r="666" spans="1:26" ht="15" customHeight="1" x14ac:dyDescent="0.25">
      <c r="A666" s="183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183"/>
      <c r="O666" s="183"/>
      <c r="P666" s="183"/>
      <c r="Q666" s="183"/>
      <c r="R666" s="183"/>
      <c r="S666" s="183"/>
      <c r="T666" s="183"/>
      <c r="U666" s="183"/>
      <c r="V666" s="183"/>
      <c r="W666" s="183"/>
      <c r="X666" s="183"/>
      <c r="Y666" s="183"/>
      <c r="Z666" s="183"/>
    </row>
    <row r="667" spans="1:26" ht="15" customHeight="1" x14ac:dyDescent="0.25">
      <c r="A667" s="183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183"/>
      <c r="O667" s="183"/>
      <c r="P667" s="183"/>
      <c r="Q667" s="183"/>
      <c r="R667" s="183"/>
      <c r="S667" s="183"/>
      <c r="T667" s="183"/>
      <c r="U667" s="183"/>
      <c r="V667" s="183"/>
      <c r="W667" s="183"/>
      <c r="X667" s="183"/>
      <c r="Y667" s="183"/>
      <c r="Z667" s="183"/>
    </row>
    <row r="668" spans="1:26" ht="15" customHeight="1" x14ac:dyDescent="0.25">
      <c r="A668" s="183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183"/>
      <c r="O668" s="183"/>
      <c r="P668" s="183"/>
      <c r="Q668" s="183"/>
      <c r="R668" s="183"/>
      <c r="S668" s="183"/>
      <c r="T668" s="183"/>
      <c r="U668" s="183"/>
      <c r="V668" s="183"/>
      <c r="W668" s="183"/>
      <c r="X668" s="183"/>
      <c r="Y668" s="183"/>
      <c r="Z668" s="183"/>
    </row>
    <row r="669" spans="1:26" ht="15" customHeight="1" x14ac:dyDescent="0.25">
      <c r="A669" s="183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183"/>
      <c r="O669" s="183"/>
      <c r="P669" s="183"/>
      <c r="Q669" s="183"/>
      <c r="R669" s="183"/>
      <c r="S669" s="183"/>
      <c r="T669" s="183"/>
      <c r="U669" s="183"/>
      <c r="V669" s="183"/>
      <c r="W669" s="183"/>
      <c r="X669" s="183"/>
      <c r="Y669" s="183"/>
      <c r="Z669" s="183"/>
    </row>
    <row r="670" spans="1:26" ht="15" customHeight="1" x14ac:dyDescent="0.25">
      <c r="A670" s="183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183"/>
      <c r="O670" s="183"/>
      <c r="P670" s="183"/>
      <c r="Q670" s="183"/>
      <c r="R670" s="183"/>
      <c r="S670" s="183"/>
      <c r="T670" s="183"/>
      <c r="U670" s="183"/>
      <c r="V670" s="183"/>
      <c r="W670" s="183"/>
      <c r="X670" s="183"/>
      <c r="Y670" s="183"/>
      <c r="Z670" s="183"/>
    </row>
    <row r="671" spans="1:26" ht="15" customHeight="1" x14ac:dyDescent="0.25">
      <c r="A671" s="183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183"/>
      <c r="O671" s="183"/>
      <c r="P671" s="183"/>
      <c r="Q671" s="183"/>
      <c r="R671" s="183"/>
      <c r="S671" s="183"/>
      <c r="T671" s="183"/>
      <c r="U671" s="183"/>
      <c r="V671" s="183"/>
      <c r="W671" s="183"/>
      <c r="X671" s="183"/>
      <c r="Y671" s="183"/>
      <c r="Z671" s="183"/>
    </row>
    <row r="672" spans="1:26" ht="15" customHeight="1" x14ac:dyDescent="0.25">
      <c r="A672" s="183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183"/>
      <c r="O672" s="183"/>
      <c r="P672" s="183"/>
      <c r="Q672" s="183"/>
      <c r="R672" s="183"/>
      <c r="S672" s="183"/>
      <c r="T672" s="183"/>
      <c r="U672" s="183"/>
      <c r="V672" s="183"/>
      <c r="W672" s="183"/>
      <c r="X672" s="183"/>
      <c r="Y672" s="183"/>
      <c r="Z672" s="183"/>
    </row>
    <row r="673" spans="1:26" ht="15" customHeight="1" x14ac:dyDescent="0.25">
      <c r="A673" s="183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183"/>
      <c r="O673" s="183"/>
      <c r="P673" s="183"/>
      <c r="Q673" s="183"/>
      <c r="R673" s="183"/>
      <c r="S673" s="183"/>
      <c r="T673" s="183"/>
      <c r="U673" s="183"/>
      <c r="V673" s="183"/>
      <c r="W673" s="183"/>
      <c r="X673" s="183"/>
      <c r="Y673" s="183"/>
      <c r="Z673" s="183"/>
    </row>
    <row r="674" spans="1:26" ht="15" customHeight="1" x14ac:dyDescent="0.25">
      <c r="A674" s="183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183"/>
      <c r="O674" s="183"/>
      <c r="P674" s="183"/>
      <c r="Q674" s="183"/>
      <c r="R674" s="183"/>
      <c r="S674" s="183"/>
      <c r="T674" s="183"/>
      <c r="U674" s="183"/>
      <c r="V674" s="183"/>
      <c r="W674" s="183"/>
      <c r="X674" s="183"/>
      <c r="Y674" s="183"/>
      <c r="Z674" s="183"/>
    </row>
    <row r="675" spans="1:26" ht="15" customHeight="1" x14ac:dyDescent="0.25">
      <c r="A675" s="183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183"/>
      <c r="O675" s="183"/>
      <c r="P675" s="183"/>
      <c r="Q675" s="183"/>
      <c r="R675" s="183"/>
      <c r="S675" s="183"/>
      <c r="T675" s="183"/>
      <c r="U675" s="183"/>
      <c r="V675" s="183"/>
      <c r="W675" s="183"/>
      <c r="X675" s="183"/>
      <c r="Y675" s="183"/>
      <c r="Z675" s="183"/>
    </row>
    <row r="676" spans="1:26" ht="15" customHeight="1" x14ac:dyDescent="0.25">
      <c r="A676" s="183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183"/>
      <c r="O676" s="183"/>
      <c r="P676" s="183"/>
      <c r="Q676" s="183"/>
      <c r="R676" s="183"/>
      <c r="S676" s="183"/>
      <c r="T676" s="183"/>
      <c r="U676" s="183"/>
      <c r="V676" s="183"/>
      <c r="W676" s="183"/>
      <c r="X676" s="183"/>
      <c r="Y676" s="183"/>
      <c r="Z676" s="183"/>
    </row>
    <row r="677" spans="1:26" ht="15" customHeight="1" x14ac:dyDescent="0.25">
      <c r="A677" s="183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183"/>
      <c r="O677" s="183"/>
      <c r="P677" s="183"/>
      <c r="Q677" s="183"/>
      <c r="R677" s="183"/>
      <c r="S677" s="183"/>
      <c r="T677" s="183"/>
      <c r="U677" s="183"/>
      <c r="V677" s="183"/>
      <c r="W677" s="183"/>
      <c r="X677" s="183"/>
      <c r="Y677" s="183"/>
      <c r="Z677" s="183"/>
    </row>
    <row r="678" spans="1:26" ht="15" customHeight="1" x14ac:dyDescent="0.25">
      <c r="A678" s="183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183"/>
      <c r="O678" s="183"/>
      <c r="P678" s="183"/>
      <c r="Q678" s="183"/>
      <c r="R678" s="183"/>
      <c r="S678" s="183"/>
      <c r="T678" s="183"/>
      <c r="U678" s="183"/>
      <c r="V678" s="183"/>
      <c r="W678" s="183"/>
      <c r="X678" s="183"/>
      <c r="Y678" s="183"/>
      <c r="Z678" s="183"/>
    </row>
    <row r="679" spans="1:26" ht="15" customHeight="1" x14ac:dyDescent="0.25">
      <c r="A679" s="183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183"/>
      <c r="O679" s="183"/>
      <c r="P679" s="183"/>
      <c r="Q679" s="183"/>
      <c r="R679" s="183"/>
      <c r="S679" s="183"/>
      <c r="T679" s="183"/>
      <c r="U679" s="183"/>
      <c r="V679" s="183"/>
      <c r="W679" s="183"/>
      <c r="X679" s="183"/>
      <c r="Y679" s="183"/>
      <c r="Z679" s="183"/>
    </row>
    <row r="680" spans="1:26" ht="15" customHeight="1" x14ac:dyDescent="0.25">
      <c r="A680" s="183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183"/>
      <c r="O680" s="183"/>
      <c r="P680" s="183"/>
      <c r="Q680" s="183"/>
      <c r="R680" s="183"/>
      <c r="S680" s="183"/>
      <c r="T680" s="183"/>
      <c r="U680" s="183"/>
      <c r="V680" s="183"/>
      <c r="W680" s="183"/>
      <c r="X680" s="183"/>
      <c r="Y680" s="183"/>
      <c r="Z680" s="183"/>
    </row>
    <row r="681" spans="1:26" ht="15" customHeight="1" x14ac:dyDescent="0.25">
      <c r="A681" s="183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183"/>
      <c r="O681" s="183"/>
      <c r="P681" s="183"/>
      <c r="Q681" s="183"/>
      <c r="R681" s="183"/>
      <c r="S681" s="183"/>
      <c r="T681" s="183"/>
      <c r="U681" s="183"/>
      <c r="V681" s="183"/>
      <c r="W681" s="183"/>
      <c r="X681" s="183"/>
      <c r="Y681" s="183"/>
      <c r="Z681" s="183"/>
    </row>
    <row r="682" spans="1:26" ht="15" customHeight="1" x14ac:dyDescent="0.25">
      <c r="A682" s="183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183"/>
      <c r="O682" s="183"/>
      <c r="P682" s="183"/>
      <c r="Q682" s="183"/>
      <c r="R682" s="183"/>
      <c r="S682" s="183"/>
      <c r="T682" s="183"/>
      <c r="U682" s="183"/>
      <c r="V682" s="183"/>
      <c r="W682" s="183"/>
      <c r="X682" s="183"/>
      <c r="Y682" s="183"/>
      <c r="Z682" s="183"/>
    </row>
    <row r="683" spans="1:26" ht="15" customHeight="1" x14ac:dyDescent="0.25">
      <c r="A683" s="183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183"/>
      <c r="O683" s="183"/>
      <c r="P683" s="183"/>
      <c r="Q683" s="183"/>
      <c r="R683" s="183"/>
      <c r="S683" s="183"/>
      <c r="T683" s="183"/>
      <c r="U683" s="183"/>
      <c r="V683" s="183"/>
      <c r="W683" s="183"/>
      <c r="X683" s="183"/>
      <c r="Y683" s="183"/>
      <c r="Z683" s="183"/>
    </row>
    <row r="684" spans="1:26" ht="15" customHeight="1" x14ac:dyDescent="0.25">
      <c r="A684" s="183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183"/>
      <c r="O684" s="183"/>
      <c r="P684" s="183"/>
      <c r="Q684" s="183"/>
      <c r="R684" s="183"/>
      <c r="S684" s="183"/>
      <c r="T684" s="183"/>
      <c r="U684" s="183"/>
      <c r="V684" s="183"/>
      <c r="W684" s="183"/>
      <c r="X684" s="183"/>
      <c r="Y684" s="183"/>
      <c r="Z684" s="183"/>
    </row>
    <row r="685" spans="1:26" ht="15" customHeight="1" x14ac:dyDescent="0.25">
      <c r="A685" s="183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183"/>
      <c r="O685" s="183"/>
      <c r="P685" s="183"/>
      <c r="Q685" s="183"/>
      <c r="R685" s="183"/>
      <c r="S685" s="183"/>
      <c r="T685" s="183"/>
      <c r="U685" s="183"/>
      <c r="V685" s="183"/>
      <c r="W685" s="183"/>
      <c r="X685" s="183"/>
      <c r="Y685" s="183"/>
      <c r="Z685" s="183"/>
    </row>
    <row r="686" spans="1:26" ht="15" customHeight="1" x14ac:dyDescent="0.25">
      <c r="A686" s="183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183"/>
      <c r="O686" s="183"/>
      <c r="P686" s="183"/>
      <c r="Q686" s="183"/>
      <c r="R686" s="183"/>
      <c r="S686" s="183"/>
      <c r="T686" s="183"/>
      <c r="U686" s="183"/>
      <c r="V686" s="183"/>
      <c r="W686" s="183"/>
      <c r="X686" s="183"/>
      <c r="Y686" s="183"/>
      <c r="Z686" s="183"/>
    </row>
    <row r="687" spans="1:26" ht="15" customHeight="1" x14ac:dyDescent="0.25">
      <c r="A687" s="183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183"/>
      <c r="O687" s="183"/>
      <c r="P687" s="183"/>
      <c r="Q687" s="183"/>
      <c r="R687" s="183"/>
      <c r="S687" s="183"/>
      <c r="T687" s="183"/>
      <c r="U687" s="183"/>
      <c r="V687" s="183"/>
      <c r="W687" s="183"/>
      <c r="X687" s="183"/>
      <c r="Y687" s="183"/>
      <c r="Z687" s="183"/>
    </row>
    <row r="688" spans="1:26" ht="15" customHeight="1" x14ac:dyDescent="0.25">
      <c r="A688" s="183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183"/>
      <c r="O688" s="183"/>
      <c r="P688" s="183"/>
      <c r="Q688" s="183"/>
      <c r="R688" s="183"/>
      <c r="S688" s="183"/>
      <c r="T688" s="183"/>
      <c r="U688" s="183"/>
      <c r="V688" s="183"/>
      <c r="W688" s="183"/>
      <c r="X688" s="183"/>
      <c r="Y688" s="183"/>
      <c r="Z688" s="183"/>
    </row>
    <row r="689" spans="1:26" ht="15" customHeight="1" x14ac:dyDescent="0.25">
      <c r="A689" s="183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183"/>
      <c r="O689" s="183"/>
      <c r="P689" s="183"/>
      <c r="Q689" s="183"/>
      <c r="R689" s="183"/>
      <c r="S689" s="183"/>
      <c r="T689" s="183"/>
      <c r="U689" s="183"/>
      <c r="V689" s="183"/>
      <c r="W689" s="183"/>
      <c r="X689" s="183"/>
      <c r="Y689" s="183"/>
      <c r="Z689" s="183"/>
    </row>
    <row r="690" spans="1:26" ht="15" customHeight="1" x14ac:dyDescent="0.25">
      <c r="A690" s="183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183"/>
      <c r="O690" s="183"/>
      <c r="P690" s="183"/>
      <c r="Q690" s="183"/>
      <c r="R690" s="183"/>
      <c r="S690" s="183"/>
      <c r="T690" s="183"/>
      <c r="U690" s="183"/>
      <c r="V690" s="183"/>
      <c r="W690" s="183"/>
      <c r="X690" s="183"/>
      <c r="Y690" s="183"/>
      <c r="Z690" s="183"/>
    </row>
    <row r="691" spans="1:26" ht="15" customHeight="1" x14ac:dyDescent="0.25">
      <c r="A691" s="183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183"/>
      <c r="O691" s="183"/>
      <c r="P691" s="183"/>
      <c r="Q691" s="183"/>
      <c r="R691" s="183"/>
      <c r="S691" s="183"/>
      <c r="T691" s="183"/>
      <c r="U691" s="183"/>
      <c r="V691" s="183"/>
      <c r="W691" s="183"/>
      <c r="X691" s="183"/>
      <c r="Y691" s="183"/>
      <c r="Z691" s="183"/>
    </row>
    <row r="692" spans="1:26" ht="15" customHeight="1" x14ac:dyDescent="0.25">
      <c r="A692" s="183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183"/>
      <c r="O692" s="183"/>
      <c r="P692" s="183"/>
      <c r="Q692" s="183"/>
      <c r="R692" s="183"/>
      <c r="S692" s="183"/>
      <c r="T692" s="183"/>
      <c r="U692" s="183"/>
      <c r="V692" s="183"/>
      <c r="W692" s="183"/>
      <c r="X692" s="183"/>
      <c r="Y692" s="183"/>
      <c r="Z692" s="183"/>
    </row>
    <row r="693" spans="1:26" ht="15" customHeight="1" x14ac:dyDescent="0.25">
      <c r="A693" s="183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183"/>
      <c r="O693" s="183"/>
      <c r="P693" s="183"/>
      <c r="Q693" s="183"/>
      <c r="R693" s="183"/>
      <c r="S693" s="183"/>
      <c r="T693" s="183"/>
      <c r="U693" s="183"/>
      <c r="V693" s="183"/>
      <c r="W693" s="183"/>
      <c r="X693" s="183"/>
      <c r="Y693" s="183"/>
      <c r="Z693" s="183"/>
    </row>
    <row r="694" spans="1:26" ht="15" customHeight="1" x14ac:dyDescent="0.25">
      <c r="A694" s="183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183"/>
      <c r="O694" s="183"/>
      <c r="P694" s="183"/>
      <c r="Q694" s="183"/>
      <c r="R694" s="183"/>
      <c r="S694" s="183"/>
      <c r="T694" s="183"/>
      <c r="U694" s="183"/>
      <c r="V694" s="183"/>
      <c r="W694" s="183"/>
      <c r="X694" s="183"/>
      <c r="Y694" s="183"/>
      <c r="Z694" s="183"/>
    </row>
    <row r="695" spans="1:26" ht="15" customHeight="1" x14ac:dyDescent="0.25">
      <c r="A695" s="183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183"/>
      <c r="O695" s="183"/>
      <c r="P695" s="183"/>
      <c r="Q695" s="183"/>
      <c r="R695" s="183"/>
      <c r="S695" s="183"/>
      <c r="T695" s="183"/>
      <c r="U695" s="183"/>
      <c r="V695" s="183"/>
      <c r="W695" s="183"/>
      <c r="X695" s="183"/>
      <c r="Y695" s="183"/>
      <c r="Z695" s="183"/>
    </row>
    <row r="696" spans="1:26" ht="15" customHeight="1" x14ac:dyDescent="0.25">
      <c r="A696" s="183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183"/>
      <c r="O696" s="183"/>
      <c r="P696" s="183"/>
      <c r="Q696" s="183"/>
      <c r="R696" s="183"/>
      <c r="S696" s="183"/>
      <c r="T696" s="183"/>
      <c r="U696" s="183"/>
      <c r="V696" s="183"/>
      <c r="W696" s="183"/>
      <c r="X696" s="183"/>
      <c r="Y696" s="183"/>
      <c r="Z696" s="183"/>
    </row>
    <row r="697" spans="1:26" ht="15" customHeight="1" x14ac:dyDescent="0.25">
      <c r="A697" s="183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183"/>
      <c r="O697" s="183"/>
      <c r="P697" s="183"/>
      <c r="Q697" s="183"/>
      <c r="R697" s="183"/>
      <c r="S697" s="183"/>
      <c r="T697" s="183"/>
      <c r="U697" s="183"/>
      <c r="V697" s="183"/>
      <c r="W697" s="183"/>
      <c r="X697" s="183"/>
      <c r="Y697" s="183"/>
      <c r="Z697" s="183"/>
    </row>
    <row r="698" spans="1:26" ht="15" customHeight="1" x14ac:dyDescent="0.25">
      <c r="A698" s="183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183"/>
      <c r="O698" s="183"/>
      <c r="P698" s="183"/>
      <c r="Q698" s="183"/>
      <c r="R698" s="183"/>
      <c r="S698" s="183"/>
      <c r="T698" s="183"/>
      <c r="U698" s="183"/>
      <c r="V698" s="183"/>
      <c r="W698" s="183"/>
      <c r="X698" s="183"/>
      <c r="Y698" s="183"/>
      <c r="Z698" s="183"/>
    </row>
    <row r="699" spans="1:26" ht="15" customHeight="1" x14ac:dyDescent="0.25">
      <c r="A699" s="183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183"/>
      <c r="O699" s="183"/>
      <c r="P699" s="183"/>
      <c r="Q699" s="183"/>
      <c r="R699" s="183"/>
      <c r="S699" s="183"/>
      <c r="T699" s="183"/>
      <c r="U699" s="183"/>
      <c r="V699" s="183"/>
      <c r="W699" s="183"/>
      <c r="X699" s="183"/>
      <c r="Y699" s="183"/>
      <c r="Z699" s="183"/>
    </row>
    <row r="700" spans="1:26" ht="15" customHeight="1" x14ac:dyDescent="0.25">
      <c r="A700" s="183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183"/>
      <c r="O700" s="183"/>
      <c r="P700" s="183"/>
      <c r="Q700" s="183"/>
      <c r="R700" s="183"/>
      <c r="S700" s="183"/>
      <c r="T700" s="183"/>
      <c r="U700" s="183"/>
      <c r="V700" s="183"/>
      <c r="W700" s="183"/>
      <c r="X700" s="183"/>
      <c r="Y700" s="183"/>
      <c r="Z700" s="183"/>
    </row>
    <row r="701" spans="1:26" ht="15" customHeight="1" x14ac:dyDescent="0.25">
      <c r="A701" s="183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183"/>
      <c r="O701" s="183"/>
      <c r="P701" s="183"/>
      <c r="Q701" s="183"/>
      <c r="R701" s="183"/>
      <c r="S701" s="183"/>
      <c r="T701" s="183"/>
      <c r="U701" s="183"/>
      <c r="V701" s="183"/>
      <c r="W701" s="183"/>
      <c r="X701" s="183"/>
      <c r="Y701" s="183"/>
      <c r="Z701" s="183"/>
    </row>
    <row r="702" spans="1:26" ht="15" customHeight="1" x14ac:dyDescent="0.25">
      <c r="A702" s="183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183"/>
      <c r="O702" s="183"/>
      <c r="P702" s="183"/>
      <c r="Q702" s="183"/>
      <c r="R702" s="183"/>
      <c r="S702" s="183"/>
      <c r="T702" s="183"/>
      <c r="U702" s="183"/>
      <c r="V702" s="183"/>
      <c r="W702" s="183"/>
      <c r="X702" s="183"/>
      <c r="Y702" s="183"/>
      <c r="Z702" s="183"/>
    </row>
    <row r="703" spans="1:26" ht="15" customHeight="1" x14ac:dyDescent="0.25">
      <c r="A703" s="183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183"/>
      <c r="O703" s="183"/>
      <c r="P703" s="183"/>
      <c r="Q703" s="183"/>
      <c r="R703" s="183"/>
      <c r="S703" s="183"/>
      <c r="T703" s="183"/>
      <c r="U703" s="183"/>
      <c r="V703" s="183"/>
      <c r="W703" s="183"/>
      <c r="X703" s="183"/>
      <c r="Y703" s="183"/>
      <c r="Z703" s="183"/>
    </row>
    <row r="704" spans="1:26" ht="15" customHeight="1" x14ac:dyDescent="0.25">
      <c r="A704" s="183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183"/>
      <c r="O704" s="183"/>
      <c r="P704" s="183"/>
      <c r="Q704" s="183"/>
      <c r="R704" s="183"/>
      <c r="S704" s="183"/>
      <c r="T704" s="183"/>
      <c r="U704" s="183"/>
      <c r="V704" s="183"/>
      <c r="W704" s="183"/>
      <c r="X704" s="183"/>
      <c r="Y704" s="183"/>
      <c r="Z704" s="183"/>
    </row>
    <row r="705" spans="1:26" ht="15" customHeight="1" x14ac:dyDescent="0.25">
      <c r="A705" s="183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183"/>
      <c r="O705" s="183"/>
      <c r="P705" s="183"/>
      <c r="Q705" s="183"/>
      <c r="R705" s="183"/>
      <c r="S705" s="183"/>
      <c r="T705" s="183"/>
      <c r="U705" s="183"/>
      <c r="V705" s="183"/>
      <c r="W705" s="183"/>
      <c r="X705" s="183"/>
      <c r="Y705" s="183"/>
      <c r="Z705" s="183"/>
    </row>
    <row r="706" spans="1:26" ht="15" customHeight="1" x14ac:dyDescent="0.25">
      <c r="A706" s="183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183"/>
      <c r="O706" s="183"/>
      <c r="P706" s="183"/>
      <c r="Q706" s="183"/>
      <c r="R706" s="183"/>
      <c r="S706" s="183"/>
      <c r="T706" s="183"/>
      <c r="U706" s="183"/>
      <c r="V706" s="183"/>
      <c r="W706" s="183"/>
      <c r="X706" s="183"/>
      <c r="Y706" s="183"/>
      <c r="Z706" s="183"/>
    </row>
    <row r="707" spans="1:26" ht="15" customHeight="1" x14ac:dyDescent="0.25">
      <c r="A707" s="183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183"/>
      <c r="O707" s="183"/>
      <c r="P707" s="183"/>
      <c r="Q707" s="183"/>
      <c r="R707" s="183"/>
      <c r="S707" s="183"/>
      <c r="T707" s="183"/>
      <c r="U707" s="183"/>
      <c r="V707" s="183"/>
      <c r="W707" s="183"/>
      <c r="X707" s="183"/>
      <c r="Y707" s="183"/>
      <c r="Z707" s="183"/>
    </row>
    <row r="708" spans="1:26" ht="15" customHeight="1" x14ac:dyDescent="0.25">
      <c r="A708" s="183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183"/>
      <c r="O708" s="183"/>
      <c r="P708" s="183"/>
      <c r="Q708" s="183"/>
      <c r="R708" s="183"/>
      <c r="S708" s="183"/>
      <c r="T708" s="183"/>
      <c r="U708" s="183"/>
      <c r="V708" s="183"/>
      <c r="W708" s="183"/>
      <c r="X708" s="183"/>
      <c r="Y708" s="183"/>
      <c r="Z708" s="183"/>
    </row>
    <row r="709" spans="1:26" ht="15" customHeight="1" x14ac:dyDescent="0.25">
      <c r="A709" s="183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183"/>
      <c r="O709" s="183"/>
      <c r="P709" s="183"/>
      <c r="Q709" s="183"/>
      <c r="R709" s="183"/>
      <c r="S709" s="183"/>
      <c r="T709" s="183"/>
      <c r="U709" s="183"/>
      <c r="V709" s="183"/>
      <c r="W709" s="183"/>
      <c r="X709" s="183"/>
      <c r="Y709" s="183"/>
      <c r="Z709" s="183"/>
    </row>
    <row r="710" spans="1:26" ht="15" customHeight="1" x14ac:dyDescent="0.25">
      <c r="A710" s="183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183"/>
      <c r="O710" s="183"/>
      <c r="P710" s="183"/>
      <c r="Q710" s="183"/>
      <c r="R710" s="183"/>
      <c r="S710" s="183"/>
      <c r="T710" s="183"/>
      <c r="U710" s="183"/>
      <c r="V710" s="183"/>
      <c r="W710" s="183"/>
      <c r="X710" s="183"/>
      <c r="Y710" s="183"/>
      <c r="Z710" s="183"/>
    </row>
    <row r="711" spans="1:26" ht="15" customHeight="1" x14ac:dyDescent="0.25">
      <c r="A711" s="183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183"/>
      <c r="O711" s="183"/>
      <c r="P711" s="183"/>
      <c r="Q711" s="183"/>
      <c r="R711" s="183"/>
      <c r="S711" s="183"/>
      <c r="T711" s="183"/>
      <c r="U711" s="183"/>
      <c r="V711" s="183"/>
      <c r="W711" s="183"/>
      <c r="X711" s="183"/>
      <c r="Y711" s="183"/>
      <c r="Z711" s="183"/>
    </row>
    <row r="712" spans="1:26" ht="15" customHeight="1" x14ac:dyDescent="0.25">
      <c r="A712" s="183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183"/>
      <c r="O712" s="183"/>
      <c r="P712" s="183"/>
      <c r="Q712" s="183"/>
      <c r="R712" s="183"/>
      <c r="S712" s="183"/>
      <c r="T712" s="183"/>
      <c r="U712" s="183"/>
      <c r="V712" s="183"/>
      <c r="W712" s="183"/>
      <c r="X712" s="183"/>
      <c r="Y712" s="183"/>
      <c r="Z712" s="183"/>
    </row>
    <row r="713" spans="1:26" ht="15" customHeight="1" x14ac:dyDescent="0.25">
      <c r="A713" s="183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183"/>
      <c r="O713" s="183"/>
      <c r="P713" s="183"/>
      <c r="Q713" s="183"/>
      <c r="R713" s="183"/>
      <c r="S713" s="183"/>
      <c r="T713" s="183"/>
      <c r="U713" s="183"/>
      <c r="V713" s="183"/>
      <c r="W713" s="183"/>
      <c r="X713" s="183"/>
      <c r="Y713" s="183"/>
      <c r="Z713" s="183"/>
    </row>
    <row r="714" spans="1:26" ht="15" customHeight="1" x14ac:dyDescent="0.25">
      <c r="A714" s="183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183"/>
      <c r="O714" s="183"/>
      <c r="P714" s="183"/>
      <c r="Q714" s="183"/>
      <c r="R714" s="183"/>
      <c r="S714" s="183"/>
      <c r="T714" s="183"/>
      <c r="U714" s="183"/>
      <c r="V714" s="183"/>
      <c r="W714" s="183"/>
      <c r="X714" s="183"/>
      <c r="Y714" s="183"/>
      <c r="Z714" s="183"/>
    </row>
    <row r="715" spans="1:26" ht="15" customHeight="1" x14ac:dyDescent="0.25">
      <c r="A715" s="183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183"/>
      <c r="O715" s="183"/>
      <c r="P715" s="183"/>
      <c r="Q715" s="183"/>
      <c r="R715" s="183"/>
      <c r="S715" s="183"/>
      <c r="T715" s="183"/>
      <c r="U715" s="183"/>
      <c r="V715" s="183"/>
      <c r="W715" s="183"/>
      <c r="X715" s="183"/>
      <c r="Y715" s="183"/>
      <c r="Z715" s="183"/>
    </row>
    <row r="716" spans="1:26" ht="15" customHeight="1" x14ac:dyDescent="0.25">
      <c r="A716" s="183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183"/>
      <c r="O716" s="183"/>
      <c r="P716" s="183"/>
      <c r="Q716" s="183"/>
      <c r="R716" s="183"/>
      <c r="S716" s="183"/>
      <c r="T716" s="183"/>
      <c r="U716" s="183"/>
      <c r="V716" s="183"/>
      <c r="W716" s="183"/>
      <c r="X716" s="183"/>
      <c r="Y716" s="183"/>
      <c r="Z716" s="183"/>
    </row>
    <row r="717" spans="1:26" ht="15" customHeight="1" x14ac:dyDescent="0.25">
      <c r="A717" s="183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183"/>
      <c r="O717" s="183"/>
      <c r="P717" s="183"/>
      <c r="Q717" s="183"/>
      <c r="R717" s="183"/>
      <c r="S717" s="183"/>
      <c r="T717" s="183"/>
      <c r="U717" s="183"/>
      <c r="V717" s="183"/>
      <c r="W717" s="183"/>
      <c r="X717" s="183"/>
      <c r="Y717" s="183"/>
      <c r="Z717" s="183"/>
    </row>
    <row r="718" spans="1:26" ht="15" customHeight="1" x14ac:dyDescent="0.25">
      <c r="A718" s="183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183"/>
      <c r="O718" s="183"/>
      <c r="P718" s="183"/>
      <c r="Q718" s="183"/>
      <c r="R718" s="183"/>
      <c r="S718" s="183"/>
      <c r="T718" s="183"/>
      <c r="U718" s="183"/>
      <c r="V718" s="183"/>
      <c r="W718" s="183"/>
      <c r="X718" s="183"/>
      <c r="Y718" s="183"/>
      <c r="Z718" s="183"/>
    </row>
    <row r="719" spans="1:26" ht="15" customHeight="1" x14ac:dyDescent="0.25">
      <c r="A719" s="183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183"/>
      <c r="O719" s="183"/>
      <c r="P719" s="183"/>
      <c r="Q719" s="183"/>
      <c r="R719" s="183"/>
      <c r="S719" s="183"/>
      <c r="T719" s="183"/>
      <c r="U719" s="183"/>
      <c r="V719" s="183"/>
      <c r="W719" s="183"/>
      <c r="X719" s="183"/>
      <c r="Y719" s="183"/>
      <c r="Z719" s="183"/>
    </row>
    <row r="720" spans="1:26" ht="15" customHeight="1" x14ac:dyDescent="0.25">
      <c r="A720" s="183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183"/>
      <c r="O720" s="183"/>
      <c r="P720" s="183"/>
      <c r="Q720" s="183"/>
      <c r="R720" s="183"/>
      <c r="S720" s="183"/>
      <c r="T720" s="183"/>
      <c r="U720" s="183"/>
      <c r="V720" s="183"/>
      <c r="W720" s="183"/>
      <c r="X720" s="183"/>
      <c r="Y720" s="183"/>
      <c r="Z720" s="183"/>
    </row>
    <row r="721" spans="1:26" ht="15" customHeight="1" x14ac:dyDescent="0.25">
      <c r="A721" s="183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183"/>
      <c r="O721" s="183"/>
      <c r="P721" s="183"/>
      <c r="Q721" s="183"/>
      <c r="R721" s="183"/>
      <c r="S721" s="183"/>
      <c r="T721" s="183"/>
      <c r="U721" s="183"/>
      <c r="V721" s="183"/>
      <c r="W721" s="183"/>
      <c r="X721" s="183"/>
      <c r="Y721" s="183"/>
      <c r="Z721" s="183"/>
    </row>
    <row r="722" spans="1:26" ht="15" customHeight="1" x14ac:dyDescent="0.25">
      <c r="A722" s="183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183"/>
      <c r="O722" s="183"/>
      <c r="P722" s="183"/>
      <c r="Q722" s="183"/>
      <c r="R722" s="183"/>
      <c r="S722" s="183"/>
      <c r="T722" s="183"/>
      <c r="U722" s="183"/>
      <c r="V722" s="183"/>
      <c r="W722" s="183"/>
      <c r="X722" s="183"/>
      <c r="Y722" s="183"/>
      <c r="Z722" s="183"/>
    </row>
    <row r="723" spans="1:26" ht="15" customHeight="1" x14ac:dyDescent="0.25">
      <c r="A723" s="183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183"/>
      <c r="O723" s="183"/>
      <c r="P723" s="183"/>
      <c r="Q723" s="183"/>
      <c r="R723" s="183"/>
      <c r="S723" s="183"/>
      <c r="T723" s="183"/>
      <c r="U723" s="183"/>
      <c r="V723" s="183"/>
      <c r="W723" s="183"/>
      <c r="X723" s="183"/>
      <c r="Y723" s="183"/>
      <c r="Z723" s="183"/>
    </row>
    <row r="724" spans="1:26" ht="15" customHeight="1" x14ac:dyDescent="0.25">
      <c r="A724" s="183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183"/>
      <c r="O724" s="183"/>
      <c r="P724" s="183"/>
      <c r="Q724" s="183"/>
      <c r="R724" s="183"/>
      <c r="S724" s="183"/>
      <c r="T724" s="183"/>
      <c r="U724" s="183"/>
      <c r="V724" s="183"/>
      <c r="W724" s="183"/>
      <c r="X724" s="183"/>
      <c r="Y724" s="183"/>
      <c r="Z724" s="183"/>
    </row>
    <row r="725" spans="1:26" ht="15" customHeight="1" x14ac:dyDescent="0.25">
      <c r="A725" s="183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183"/>
      <c r="O725" s="183"/>
      <c r="P725" s="183"/>
      <c r="Q725" s="183"/>
      <c r="R725" s="183"/>
      <c r="S725" s="183"/>
      <c r="T725" s="183"/>
      <c r="U725" s="183"/>
      <c r="V725" s="183"/>
      <c r="W725" s="183"/>
      <c r="X725" s="183"/>
      <c r="Y725" s="183"/>
      <c r="Z725" s="183"/>
    </row>
    <row r="726" spans="1:26" ht="15" customHeight="1" x14ac:dyDescent="0.25">
      <c r="A726" s="183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183"/>
      <c r="O726" s="183"/>
      <c r="P726" s="183"/>
      <c r="Q726" s="183"/>
      <c r="R726" s="183"/>
      <c r="S726" s="183"/>
      <c r="T726" s="183"/>
      <c r="U726" s="183"/>
      <c r="V726" s="183"/>
      <c r="W726" s="183"/>
      <c r="X726" s="183"/>
      <c r="Y726" s="183"/>
      <c r="Z726" s="183"/>
    </row>
    <row r="727" spans="1:26" ht="15" customHeight="1" x14ac:dyDescent="0.25">
      <c r="A727" s="183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183"/>
      <c r="O727" s="183"/>
      <c r="P727" s="183"/>
      <c r="Q727" s="183"/>
      <c r="R727" s="183"/>
      <c r="S727" s="183"/>
      <c r="T727" s="183"/>
      <c r="U727" s="183"/>
      <c r="V727" s="183"/>
      <c r="W727" s="183"/>
      <c r="X727" s="183"/>
      <c r="Y727" s="183"/>
      <c r="Z727" s="183"/>
    </row>
    <row r="728" spans="1:26" ht="15" customHeight="1" x14ac:dyDescent="0.25">
      <c r="A728" s="183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183"/>
      <c r="O728" s="183"/>
      <c r="P728" s="183"/>
      <c r="Q728" s="183"/>
      <c r="R728" s="183"/>
      <c r="S728" s="183"/>
      <c r="T728" s="183"/>
      <c r="U728" s="183"/>
      <c r="V728" s="183"/>
      <c r="W728" s="183"/>
      <c r="X728" s="183"/>
      <c r="Y728" s="183"/>
      <c r="Z728" s="183"/>
    </row>
    <row r="729" spans="1:26" ht="15" customHeight="1" x14ac:dyDescent="0.25">
      <c r="A729" s="183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183"/>
      <c r="O729" s="183"/>
      <c r="P729" s="183"/>
      <c r="Q729" s="183"/>
      <c r="R729" s="183"/>
      <c r="S729" s="183"/>
      <c r="T729" s="183"/>
      <c r="U729" s="183"/>
      <c r="V729" s="183"/>
      <c r="W729" s="183"/>
      <c r="X729" s="183"/>
      <c r="Y729" s="183"/>
      <c r="Z729" s="183"/>
    </row>
    <row r="730" spans="1:26" ht="15" customHeight="1" x14ac:dyDescent="0.25">
      <c r="A730" s="183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183"/>
      <c r="O730" s="183"/>
      <c r="P730" s="183"/>
      <c r="Q730" s="183"/>
      <c r="R730" s="183"/>
      <c r="S730" s="183"/>
      <c r="T730" s="183"/>
      <c r="U730" s="183"/>
      <c r="V730" s="183"/>
      <c r="W730" s="183"/>
      <c r="X730" s="183"/>
      <c r="Y730" s="183"/>
      <c r="Z730" s="183"/>
    </row>
    <row r="731" spans="1:26" ht="15" customHeight="1" x14ac:dyDescent="0.25">
      <c r="A731" s="183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183"/>
      <c r="O731" s="183"/>
      <c r="P731" s="183"/>
      <c r="Q731" s="183"/>
      <c r="R731" s="183"/>
      <c r="S731" s="183"/>
      <c r="T731" s="183"/>
      <c r="U731" s="183"/>
      <c r="V731" s="183"/>
      <c r="W731" s="183"/>
      <c r="X731" s="183"/>
      <c r="Y731" s="183"/>
      <c r="Z731" s="183"/>
    </row>
    <row r="732" spans="1:26" ht="15" customHeight="1" x14ac:dyDescent="0.25">
      <c r="A732" s="183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183"/>
      <c r="O732" s="183"/>
      <c r="P732" s="183"/>
      <c r="Q732" s="183"/>
      <c r="R732" s="183"/>
      <c r="S732" s="183"/>
      <c r="T732" s="183"/>
      <c r="U732" s="183"/>
      <c r="V732" s="183"/>
      <c r="W732" s="183"/>
      <c r="X732" s="183"/>
      <c r="Y732" s="183"/>
      <c r="Z732" s="183"/>
    </row>
    <row r="733" spans="1:26" ht="15" customHeight="1" x14ac:dyDescent="0.25">
      <c r="A733" s="183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183"/>
      <c r="O733" s="183"/>
      <c r="P733" s="183"/>
      <c r="Q733" s="183"/>
      <c r="R733" s="183"/>
      <c r="S733" s="183"/>
      <c r="T733" s="183"/>
      <c r="U733" s="183"/>
      <c r="V733" s="183"/>
      <c r="W733" s="183"/>
      <c r="X733" s="183"/>
      <c r="Y733" s="183"/>
      <c r="Z733" s="183"/>
    </row>
    <row r="734" spans="1:26" ht="15" customHeight="1" x14ac:dyDescent="0.25">
      <c r="A734" s="183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183"/>
      <c r="O734" s="183"/>
      <c r="P734" s="183"/>
      <c r="Q734" s="183"/>
      <c r="R734" s="183"/>
      <c r="S734" s="183"/>
      <c r="T734" s="183"/>
      <c r="U734" s="183"/>
      <c r="V734" s="183"/>
      <c r="W734" s="183"/>
      <c r="X734" s="183"/>
      <c r="Y734" s="183"/>
      <c r="Z734" s="183"/>
    </row>
    <row r="735" spans="1:26" ht="15" customHeight="1" x14ac:dyDescent="0.25">
      <c r="A735" s="183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183"/>
      <c r="O735" s="183"/>
      <c r="P735" s="183"/>
      <c r="Q735" s="183"/>
      <c r="R735" s="183"/>
      <c r="S735" s="183"/>
      <c r="T735" s="183"/>
      <c r="U735" s="183"/>
      <c r="V735" s="183"/>
      <c r="W735" s="183"/>
      <c r="X735" s="183"/>
      <c r="Y735" s="183"/>
      <c r="Z735" s="183"/>
    </row>
    <row r="736" spans="1:26" ht="15" customHeight="1" x14ac:dyDescent="0.25">
      <c r="A736" s="183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183"/>
      <c r="O736" s="183"/>
      <c r="P736" s="183"/>
      <c r="Q736" s="183"/>
      <c r="R736" s="183"/>
      <c r="S736" s="183"/>
      <c r="T736" s="183"/>
      <c r="U736" s="183"/>
      <c r="V736" s="183"/>
      <c r="W736" s="183"/>
      <c r="X736" s="183"/>
      <c r="Y736" s="183"/>
      <c r="Z736" s="183"/>
    </row>
    <row r="737" spans="1:26" ht="15" customHeight="1" x14ac:dyDescent="0.25">
      <c r="A737" s="183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183"/>
      <c r="O737" s="183"/>
      <c r="P737" s="183"/>
      <c r="Q737" s="183"/>
      <c r="R737" s="183"/>
      <c r="S737" s="183"/>
      <c r="T737" s="183"/>
      <c r="U737" s="183"/>
      <c r="V737" s="183"/>
      <c r="W737" s="183"/>
      <c r="X737" s="183"/>
      <c r="Y737" s="183"/>
      <c r="Z737" s="183"/>
    </row>
    <row r="738" spans="1:26" ht="15" customHeight="1" x14ac:dyDescent="0.25">
      <c r="A738" s="183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183"/>
      <c r="O738" s="183"/>
      <c r="P738" s="183"/>
      <c r="Q738" s="183"/>
      <c r="R738" s="183"/>
      <c r="S738" s="183"/>
      <c r="T738" s="183"/>
      <c r="U738" s="183"/>
      <c r="V738" s="183"/>
      <c r="W738" s="183"/>
      <c r="X738" s="183"/>
      <c r="Y738" s="183"/>
      <c r="Z738" s="183"/>
    </row>
    <row r="739" spans="1:26" ht="15" customHeight="1" x14ac:dyDescent="0.25">
      <c r="A739" s="183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183"/>
      <c r="O739" s="183"/>
      <c r="P739" s="183"/>
      <c r="Q739" s="183"/>
      <c r="R739" s="183"/>
      <c r="S739" s="183"/>
      <c r="T739" s="183"/>
      <c r="U739" s="183"/>
      <c r="V739" s="183"/>
      <c r="W739" s="183"/>
      <c r="X739" s="183"/>
      <c r="Y739" s="183"/>
      <c r="Z739" s="183"/>
    </row>
    <row r="740" spans="1:26" ht="15" customHeight="1" x14ac:dyDescent="0.25">
      <c r="A740" s="183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183"/>
      <c r="O740" s="183"/>
      <c r="P740" s="183"/>
      <c r="Q740" s="183"/>
      <c r="R740" s="183"/>
      <c r="S740" s="183"/>
      <c r="T740" s="183"/>
      <c r="U740" s="183"/>
      <c r="V740" s="183"/>
      <c r="W740" s="183"/>
      <c r="X740" s="183"/>
      <c r="Y740" s="183"/>
      <c r="Z740" s="183"/>
    </row>
    <row r="741" spans="1:26" ht="15" customHeight="1" x14ac:dyDescent="0.25">
      <c r="A741" s="183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183"/>
      <c r="O741" s="183"/>
      <c r="P741" s="183"/>
      <c r="Q741" s="183"/>
      <c r="R741" s="183"/>
      <c r="S741" s="183"/>
      <c r="T741" s="183"/>
      <c r="U741" s="183"/>
      <c r="V741" s="183"/>
      <c r="W741" s="183"/>
      <c r="X741" s="183"/>
      <c r="Y741" s="183"/>
      <c r="Z741" s="183"/>
    </row>
    <row r="742" spans="1:26" ht="15" customHeight="1" x14ac:dyDescent="0.25">
      <c r="A742" s="183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183"/>
      <c r="O742" s="183"/>
      <c r="P742" s="183"/>
      <c r="Q742" s="183"/>
      <c r="R742" s="183"/>
      <c r="S742" s="183"/>
      <c r="T742" s="183"/>
      <c r="U742" s="183"/>
      <c r="V742" s="183"/>
      <c r="W742" s="183"/>
      <c r="X742" s="183"/>
      <c r="Y742" s="183"/>
      <c r="Z742" s="183"/>
    </row>
    <row r="743" spans="1:26" ht="15" customHeight="1" x14ac:dyDescent="0.25">
      <c r="A743" s="183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183"/>
      <c r="O743" s="183"/>
      <c r="P743" s="183"/>
      <c r="Q743" s="183"/>
      <c r="R743" s="183"/>
      <c r="S743" s="183"/>
      <c r="T743" s="183"/>
      <c r="U743" s="183"/>
      <c r="V743" s="183"/>
      <c r="W743" s="183"/>
      <c r="X743" s="183"/>
      <c r="Y743" s="183"/>
      <c r="Z743" s="183"/>
    </row>
    <row r="744" spans="1:26" ht="15" customHeight="1" x14ac:dyDescent="0.25">
      <c r="A744" s="183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183"/>
      <c r="O744" s="183"/>
      <c r="P744" s="183"/>
      <c r="Q744" s="183"/>
      <c r="R744" s="183"/>
      <c r="S744" s="183"/>
      <c r="T744" s="183"/>
      <c r="U744" s="183"/>
      <c r="V744" s="183"/>
      <c r="W744" s="183"/>
      <c r="X744" s="183"/>
      <c r="Y744" s="183"/>
      <c r="Z744" s="183"/>
    </row>
    <row r="745" spans="1:26" ht="15" customHeight="1" x14ac:dyDescent="0.25">
      <c r="A745" s="183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183"/>
      <c r="O745" s="183"/>
      <c r="P745" s="183"/>
      <c r="Q745" s="183"/>
      <c r="R745" s="183"/>
      <c r="S745" s="183"/>
      <c r="T745" s="183"/>
      <c r="U745" s="183"/>
      <c r="V745" s="183"/>
      <c r="W745" s="183"/>
      <c r="X745" s="183"/>
      <c r="Y745" s="183"/>
      <c r="Z745" s="183"/>
    </row>
    <row r="746" spans="1:26" ht="15" customHeight="1" x14ac:dyDescent="0.25">
      <c r="A746" s="183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183"/>
      <c r="O746" s="183"/>
      <c r="P746" s="183"/>
      <c r="Q746" s="183"/>
      <c r="R746" s="183"/>
      <c r="S746" s="183"/>
      <c r="T746" s="183"/>
      <c r="U746" s="183"/>
      <c r="V746" s="183"/>
      <c r="W746" s="183"/>
      <c r="X746" s="183"/>
      <c r="Y746" s="183"/>
      <c r="Z746" s="183"/>
    </row>
    <row r="747" spans="1:26" ht="15" customHeight="1" x14ac:dyDescent="0.25">
      <c r="A747" s="183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183"/>
      <c r="O747" s="183"/>
      <c r="P747" s="183"/>
      <c r="Q747" s="183"/>
      <c r="R747" s="183"/>
      <c r="S747" s="183"/>
      <c r="T747" s="183"/>
      <c r="U747" s="183"/>
      <c r="V747" s="183"/>
      <c r="W747" s="183"/>
      <c r="X747" s="183"/>
      <c r="Y747" s="183"/>
      <c r="Z747" s="183"/>
    </row>
    <row r="748" spans="1:26" ht="15" customHeight="1" x14ac:dyDescent="0.25">
      <c r="A748" s="183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183"/>
      <c r="O748" s="183"/>
      <c r="P748" s="183"/>
      <c r="Q748" s="183"/>
      <c r="R748" s="183"/>
      <c r="S748" s="183"/>
      <c r="T748" s="183"/>
      <c r="U748" s="183"/>
      <c r="V748" s="183"/>
      <c r="W748" s="183"/>
      <c r="X748" s="183"/>
      <c r="Y748" s="183"/>
      <c r="Z748" s="183"/>
    </row>
    <row r="749" spans="1:26" ht="15" customHeight="1" x14ac:dyDescent="0.25">
      <c r="A749" s="183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183"/>
      <c r="O749" s="183"/>
      <c r="P749" s="183"/>
      <c r="Q749" s="183"/>
      <c r="R749" s="183"/>
      <c r="S749" s="183"/>
      <c r="T749" s="183"/>
      <c r="U749" s="183"/>
      <c r="V749" s="183"/>
      <c r="W749" s="183"/>
      <c r="X749" s="183"/>
      <c r="Y749" s="183"/>
      <c r="Z749" s="183"/>
    </row>
    <row r="750" spans="1:26" ht="15" customHeight="1" x14ac:dyDescent="0.25">
      <c r="A750" s="183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183"/>
      <c r="O750" s="183"/>
      <c r="P750" s="183"/>
      <c r="Q750" s="183"/>
      <c r="R750" s="183"/>
      <c r="S750" s="183"/>
      <c r="T750" s="183"/>
      <c r="U750" s="183"/>
      <c r="V750" s="183"/>
      <c r="W750" s="183"/>
      <c r="X750" s="183"/>
      <c r="Y750" s="183"/>
      <c r="Z750" s="183"/>
    </row>
    <row r="751" spans="1:26" ht="15" customHeight="1" x14ac:dyDescent="0.25">
      <c r="A751" s="183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183"/>
      <c r="O751" s="183"/>
      <c r="P751" s="183"/>
      <c r="Q751" s="183"/>
      <c r="R751" s="183"/>
      <c r="S751" s="183"/>
      <c r="T751" s="183"/>
      <c r="U751" s="183"/>
      <c r="V751" s="183"/>
      <c r="W751" s="183"/>
      <c r="X751" s="183"/>
      <c r="Y751" s="183"/>
      <c r="Z751" s="183"/>
    </row>
    <row r="752" spans="1:26" ht="15" customHeight="1" x14ac:dyDescent="0.25">
      <c r="A752" s="183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183"/>
      <c r="O752" s="183"/>
      <c r="P752" s="183"/>
      <c r="Q752" s="183"/>
      <c r="R752" s="183"/>
      <c r="S752" s="183"/>
      <c r="T752" s="183"/>
      <c r="U752" s="183"/>
      <c r="V752" s="183"/>
      <c r="W752" s="183"/>
      <c r="X752" s="183"/>
      <c r="Y752" s="183"/>
      <c r="Z752" s="183"/>
    </row>
    <row r="753" spans="1:26" ht="15" customHeight="1" x14ac:dyDescent="0.25">
      <c r="A753" s="183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183"/>
      <c r="O753" s="183"/>
      <c r="P753" s="183"/>
      <c r="Q753" s="183"/>
      <c r="R753" s="183"/>
      <c r="S753" s="183"/>
      <c r="T753" s="183"/>
      <c r="U753" s="183"/>
      <c r="V753" s="183"/>
      <c r="W753" s="183"/>
      <c r="X753" s="183"/>
      <c r="Y753" s="183"/>
      <c r="Z753" s="183"/>
    </row>
    <row r="754" spans="1:26" ht="15" customHeight="1" x14ac:dyDescent="0.25">
      <c r="A754" s="183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183"/>
      <c r="O754" s="183"/>
      <c r="P754" s="183"/>
      <c r="Q754" s="183"/>
      <c r="R754" s="183"/>
      <c r="S754" s="183"/>
      <c r="T754" s="183"/>
      <c r="U754" s="183"/>
      <c r="V754" s="183"/>
      <c r="W754" s="183"/>
      <c r="X754" s="183"/>
      <c r="Y754" s="183"/>
      <c r="Z754" s="183"/>
    </row>
    <row r="755" spans="1:26" ht="15" customHeight="1" x14ac:dyDescent="0.25">
      <c r="A755" s="183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183"/>
      <c r="O755" s="183"/>
      <c r="P755" s="183"/>
      <c r="Q755" s="183"/>
      <c r="R755" s="183"/>
      <c r="S755" s="183"/>
      <c r="T755" s="183"/>
      <c r="U755" s="183"/>
      <c r="V755" s="183"/>
      <c r="W755" s="183"/>
      <c r="X755" s="183"/>
      <c r="Y755" s="183"/>
      <c r="Z755" s="183"/>
    </row>
    <row r="756" spans="1:26" ht="15" customHeight="1" x14ac:dyDescent="0.25">
      <c r="A756" s="18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183"/>
      <c r="O756" s="183"/>
      <c r="P756" s="183"/>
      <c r="Q756" s="183"/>
      <c r="R756" s="183"/>
      <c r="S756" s="183"/>
      <c r="T756" s="183"/>
      <c r="U756" s="183"/>
      <c r="V756" s="183"/>
      <c r="W756" s="183"/>
      <c r="X756" s="183"/>
      <c r="Y756" s="183"/>
      <c r="Z756" s="183"/>
    </row>
    <row r="757" spans="1:26" ht="15" customHeight="1" x14ac:dyDescent="0.25">
      <c r="A757" s="18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183"/>
      <c r="O757" s="183"/>
      <c r="P757" s="183"/>
      <c r="Q757" s="183"/>
      <c r="R757" s="183"/>
      <c r="S757" s="183"/>
      <c r="T757" s="183"/>
      <c r="U757" s="183"/>
      <c r="V757" s="183"/>
      <c r="W757" s="183"/>
      <c r="X757" s="183"/>
      <c r="Y757" s="183"/>
      <c r="Z757" s="183"/>
    </row>
    <row r="758" spans="1:26" ht="15" customHeight="1" x14ac:dyDescent="0.25">
      <c r="A758" s="183"/>
      <c r="B758" s="183"/>
      <c r="C758" s="183"/>
      <c r="D758" s="183"/>
      <c r="E758" s="183"/>
      <c r="F758" s="183"/>
      <c r="G758" s="183"/>
      <c r="H758" s="183"/>
      <c r="I758" s="183"/>
      <c r="J758" s="183"/>
      <c r="K758" s="183"/>
      <c r="L758" s="183"/>
      <c r="M758" s="183"/>
      <c r="N758" s="183"/>
      <c r="O758" s="183"/>
      <c r="P758" s="183"/>
      <c r="Q758" s="183"/>
      <c r="R758" s="183"/>
      <c r="S758" s="183"/>
      <c r="T758" s="183"/>
      <c r="U758" s="183"/>
      <c r="V758" s="183"/>
      <c r="W758" s="183"/>
      <c r="X758" s="183"/>
      <c r="Y758" s="183"/>
      <c r="Z758" s="183"/>
    </row>
    <row r="759" spans="1:26" ht="15" customHeight="1" x14ac:dyDescent="0.25">
      <c r="A759" s="183"/>
      <c r="B759" s="183"/>
      <c r="C759" s="183"/>
      <c r="D759" s="183"/>
      <c r="E759" s="183"/>
      <c r="F759" s="183"/>
      <c r="G759" s="183"/>
      <c r="H759" s="183"/>
      <c r="I759" s="183"/>
      <c r="J759" s="183"/>
      <c r="K759" s="183"/>
      <c r="L759" s="183"/>
      <c r="M759" s="183"/>
      <c r="N759" s="183"/>
      <c r="O759" s="183"/>
      <c r="P759" s="183"/>
      <c r="Q759" s="183"/>
      <c r="R759" s="183"/>
      <c r="S759" s="183"/>
      <c r="T759" s="183"/>
      <c r="U759" s="183"/>
      <c r="V759" s="183"/>
      <c r="W759" s="183"/>
      <c r="X759" s="183"/>
      <c r="Y759" s="183"/>
      <c r="Z759" s="183"/>
    </row>
    <row r="760" spans="1:26" ht="15" customHeight="1" x14ac:dyDescent="0.25">
      <c r="A760" s="183"/>
      <c r="B760" s="183"/>
      <c r="C760" s="183"/>
      <c r="D760" s="183"/>
      <c r="E760" s="183"/>
      <c r="F760" s="183"/>
      <c r="G760" s="183"/>
      <c r="H760" s="183"/>
      <c r="I760" s="183"/>
      <c r="J760" s="183"/>
      <c r="K760" s="183"/>
      <c r="L760" s="183"/>
      <c r="M760" s="183"/>
      <c r="N760" s="183"/>
      <c r="O760" s="183"/>
      <c r="P760" s="183"/>
      <c r="Q760" s="183"/>
      <c r="R760" s="183"/>
      <c r="S760" s="183"/>
      <c r="T760" s="183"/>
      <c r="U760" s="183"/>
      <c r="V760" s="183"/>
      <c r="W760" s="183"/>
      <c r="X760" s="183"/>
      <c r="Y760" s="183"/>
      <c r="Z760" s="183"/>
    </row>
    <row r="761" spans="1:26" ht="15" customHeight="1" x14ac:dyDescent="0.25">
      <c r="A761" s="183"/>
      <c r="B761" s="183"/>
      <c r="C761" s="183"/>
      <c r="D761" s="183"/>
      <c r="E761" s="183"/>
      <c r="F761" s="183"/>
      <c r="G761" s="183"/>
      <c r="H761" s="183"/>
      <c r="I761" s="183"/>
      <c r="J761" s="183"/>
      <c r="K761" s="183"/>
      <c r="L761" s="183"/>
      <c r="M761" s="183"/>
      <c r="N761" s="183"/>
      <c r="O761" s="183"/>
      <c r="P761" s="183"/>
      <c r="Q761" s="183"/>
      <c r="R761" s="183"/>
      <c r="S761" s="183"/>
      <c r="T761" s="183"/>
      <c r="U761" s="183"/>
      <c r="V761" s="183"/>
      <c r="W761" s="183"/>
      <c r="X761" s="183"/>
      <c r="Y761" s="183"/>
      <c r="Z761" s="183"/>
    </row>
    <row r="762" spans="1:26" ht="15" customHeight="1" x14ac:dyDescent="0.25">
      <c r="A762" s="183"/>
      <c r="B762" s="183"/>
      <c r="C762" s="183"/>
      <c r="D762" s="183"/>
      <c r="E762" s="183"/>
      <c r="F762" s="183"/>
      <c r="G762" s="183"/>
      <c r="H762" s="183"/>
      <c r="I762" s="183"/>
      <c r="J762" s="183"/>
      <c r="K762" s="183"/>
      <c r="L762" s="183"/>
      <c r="M762" s="183"/>
      <c r="N762" s="183"/>
      <c r="O762" s="183"/>
      <c r="P762" s="183"/>
      <c r="Q762" s="183"/>
      <c r="R762" s="183"/>
      <c r="S762" s="183"/>
      <c r="T762" s="183"/>
      <c r="U762" s="183"/>
      <c r="V762" s="183"/>
      <c r="W762" s="183"/>
      <c r="X762" s="183"/>
      <c r="Y762" s="183"/>
      <c r="Z762" s="183"/>
    </row>
    <row r="763" spans="1:26" ht="15" customHeight="1" x14ac:dyDescent="0.25">
      <c r="A763" s="183"/>
      <c r="B763" s="183"/>
      <c r="C763" s="183"/>
      <c r="D763" s="183"/>
      <c r="E763" s="183"/>
      <c r="F763" s="183"/>
      <c r="G763" s="183"/>
      <c r="H763" s="183"/>
      <c r="I763" s="183"/>
      <c r="J763" s="183"/>
      <c r="K763" s="183"/>
      <c r="L763" s="183"/>
      <c r="M763" s="183"/>
      <c r="N763" s="183"/>
      <c r="O763" s="183"/>
      <c r="P763" s="183"/>
      <c r="Q763" s="183"/>
      <c r="R763" s="183"/>
      <c r="S763" s="183"/>
      <c r="T763" s="183"/>
      <c r="U763" s="183"/>
      <c r="V763" s="183"/>
      <c r="W763" s="183"/>
      <c r="X763" s="183"/>
      <c r="Y763" s="183"/>
      <c r="Z763" s="183"/>
    </row>
    <row r="764" spans="1:26" ht="15" customHeight="1" x14ac:dyDescent="0.25">
      <c r="A764" s="183"/>
      <c r="B764" s="183"/>
      <c r="C764" s="183"/>
      <c r="D764" s="183"/>
      <c r="E764" s="183"/>
      <c r="F764" s="183"/>
      <c r="G764" s="183"/>
      <c r="H764" s="183"/>
      <c r="I764" s="183"/>
      <c r="J764" s="183"/>
      <c r="K764" s="183"/>
      <c r="L764" s="183"/>
      <c r="M764" s="183"/>
      <c r="N764" s="183"/>
      <c r="O764" s="183"/>
      <c r="P764" s="183"/>
      <c r="Q764" s="183"/>
      <c r="R764" s="183"/>
      <c r="S764" s="183"/>
      <c r="T764" s="183"/>
      <c r="U764" s="183"/>
      <c r="V764" s="183"/>
      <c r="W764" s="183"/>
      <c r="X764" s="183"/>
      <c r="Y764" s="183"/>
      <c r="Z764" s="183"/>
    </row>
    <row r="765" spans="1:26" ht="15" customHeight="1" x14ac:dyDescent="0.25">
      <c r="A765" s="183"/>
      <c r="B765" s="183"/>
      <c r="C765" s="183"/>
      <c r="D765" s="183"/>
      <c r="E765" s="183"/>
      <c r="F765" s="183"/>
      <c r="G765" s="183"/>
      <c r="H765" s="183"/>
      <c r="I765" s="183"/>
      <c r="J765" s="183"/>
      <c r="K765" s="183"/>
      <c r="L765" s="183"/>
      <c r="M765" s="183"/>
      <c r="N765" s="183"/>
      <c r="O765" s="183"/>
      <c r="P765" s="183"/>
      <c r="Q765" s="183"/>
      <c r="R765" s="183"/>
      <c r="S765" s="183"/>
      <c r="T765" s="183"/>
      <c r="U765" s="183"/>
      <c r="V765" s="183"/>
      <c r="W765" s="183"/>
      <c r="X765" s="183"/>
      <c r="Y765" s="183"/>
      <c r="Z765" s="183"/>
    </row>
    <row r="766" spans="1:26" ht="15" customHeight="1" x14ac:dyDescent="0.25">
      <c r="A766" s="183"/>
      <c r="B766" s="183"/>
      <c r="C766" s="183"/>
      <c r="D766" s="183"/>
      <c r="E766" s="183"/>
      <c r="F766" s="183"/>
      <c r="G766" s="183"/>
      <c r="H766" s="183"/>
      <c r="I766" s="183"/>
      <c r="J766" s="183"/>
      <c r="K766" s="183"/>
      <c r="L766" s="183"/>
      <c r="M766" s="183"/>
      <c r="N766" s="183"/>
      <c r="O766" s="183"/>
      <c r="P766" s="183"/>
      <c r="Q766" s="183"/>
      <c r="R766" s="183"/>
      <c r="S766" s="183"/>
      <c r="T766" s="183"/>
      <c r="U766" s="183"/>
      <c r="V766" s="183"/>
      <c r="W766" s="183"/>
      <c r="X766" s="183"/>
      <c r="Y766" s="183"/>
      <c r="Z766" s="183"/>
    </row>
    <row r="767" spans="1:26" ht="15" customHeight="1" x14ac:dyDescent="0.25">
      <c r="A767" s="183"/>
      <c r="B767" s="183"/>
      <c r="C767" s="183"/>
      <c r="D767" s="183"/>
      <c r="E767" s="183"/>
      <c r="F767" s="183"/>
      <c r="G767" s="183"/>
      <c r="H767" s="183"/>
      <c r="I767" s="183"/>
      <c r="J767" s="183"/>
      <c r="K767" s="183"/>
      <c r="L767" s="183"/>
      <c r="M767" s="183"/>
      <c r="N767" s="183"/>
      <c r="O767" s="183"/>
      <c r="P767" s="183"/>
      <c r="Q767" s="183"/>
      <c r="R767" s="183"/>
      <c r="S767" s="183"/>
      <c r="T767" s="183"/>
      <c r="U767" s="183"/>
      <c r="V767" s="183"/>
      <c r="W767" s="183"/>
      <c r="X767" s="183"/>
      <c r="Y767" s="183"/>
      <c r="Z767" s="183"/>
    </row>
    <row r="768" spans="1:26" ht="15" customHeight="1" x14ac:dyDescent="0.25">
      <c r="A768" s="183"/>
      <c r="B768" s="183"/>
      <c r="C768" s="183"/>
      <c r="D768" s="183"/>
      <c r="E768" s="183"/>
      <c r="F768" s="183"/>
      <c r="G768" s="183"/>
      <c r="H768" s="183"/>
      <c r="I768" s="183"/>
      <c r="J768" s="183"/>
      <c r="K768" s="183"/>
      <c r="L768" s="183"/>
      <c r="M768" s="183"/>
      <c r="N768" s="183"/>
      <c r="O768" s="183"/>
      <c r="P768" s="183"/>
      <c r="Q768" s="183"/>
      <c r="R768" s="183"/>
      <c r="S768" s="183"/>
      <c r="T768" s="183"/>
      <c r="U768" s="183"/>
      <c r="V768" s="183"/>
      <c r="W768" s="183"/>
      <c r="X768" s="183"/>
      <c r="Y768" s="183"/>
      <c r="Z768" s="183"/>
    </row>
    <row r="769" spans="1:26" ht="15" customHeight="1" x14ac:dyDescent="0.25">
      <c r="A769" s="183"/>
      <c r="B769" s="183"/>
      <c r="C769" s="183"/>
      <c r="D769" s="183"/>
      <c r="E769" s="183"/>
      <c r="F769" s="183"/>
      <c r="G769" s="183"/>
      <c r="H769" s="183"/>
      <c r="I769" s="183"/>
      <c r="J769" s="183"/>
      <c r="K769" s="183"/>
      <c r="L769" s="183"/>
      <c r="M769" s="183"/>
      <c r="N769" s="183"/>
      <c r="O769" s="183"/>
      <c r="P769" s="183"/>
      <c r="Q769" s="183"/>
      <c r="R769" s="183"/>
      <c r="S769" s="183"/>
      <c r="T769" s="183"/>
      <c r="U769" s="183"/>
      <c r="V769" s="183"/>
      <c r="W769" s="183"/>
      <c r="X769" s="183"/>
      <c r="Y769" s="183"/>
      <c r="Z769" s="183"/>
    </row>
    <row r="770" spans="1:26" ht="15" customHeight="1" x14ac:dyDescent="0.25">
      <c r="A770" s="183"/>
      <c r="B770" s="183"/>
      <c r="C770" s="183"/>
      <c r="D770" s="183"/>
      <c r="E770" s="183"/>
      <c r="F770" s="183"/>
      <c r="G770" s="183"/>
      <c r="H770" s="183"/>
      <c r="I770" s="183"/>
      <c r="J770" s="183"/>
      <c r="K770" s="183"/>
      <c r="L770" s="183"/>
      <c r="M770" s="183"/>
      <c r="N770" s="183"/>
      <c r="O770" s="183"/>
      <c r="P770" s="183"/>
      <c r="Q770" s="183"/>
      <c r="R770" s="183"/>
      <c r="S770" s="183"/>
      <c r="T770" s="183"/>
      <c r="U770" s="183"/>
      <c r="V770" s="183"/>
      <c r="W770" s="183"/>
      <c r="X770" s="183"/>
      <c r="Y770" s="183"/>
      <c r="Z770" s="183"/>
    </row>
    <row r="771" spans="1:26" ht="15" customHeight="1" x14ac:dyDescent="0.25">
      <c r="A771" s="183"/>
      <c r="B771" s="183"/>
      <c r="C771" s="183"/>
      <c r="D771" s="183"/>
      <c r="E771" s="183"/>
      <c r="F771" s="183"/>
      <c r="G771" s="183"/>
      <c r="H771" s="183"/>
      <c r="I771" s="183"/>
      <c r="J771" s="183"/>
      <c r="K771" s="183"/>
      <c r="L771" s="183"/>
      <c r="M771" s="183"/>
      <c r="N771" s="183"/>
      <c r="O771" s="183"/>
      <c r="P771" s="183"/>
      <c r="Q771" s="183"/>
      <c r="R771" s="183"/>
      <c r="S771" s="183"/>
      <c r="T771" s="183"/>
      <c r="U771" s="183"/>
      <c r="V771" s="183"/>
      <c r="W771" s="183"/>
      <c r="X771" s="183"/>
      <c r="Y771" s="183"/>
      <c r="Z771" s="183"/>
    </row>
    <row r="772" spans="1:26" ht="15" customHeight="1" x14ac:dyDescent="0.25">
      <c r="A772" s="183"/>
      <c r="B772" s="183"/>
      <c r="C772" s="183"/>
      <c r="D772" s="183"/>
      <c r="E772" s="183"/>
      <c r="F772" s="183"/>
      <c r="G772" s="183"/>
      <c r="H772" s="183"/>
      <c r="I772" s="183"/>
      <c r="J772" s="183"/>
      <c r="K772" s="183"/>
      <c r="L772" s="183"/>
      <c r="M772" s="183"/>
      <c r="N772" s="183"/>
      <c r="O772" s="183"/>
      <c r="P772" s="183"/>
      <c r="Q772" s="183"/>
      <c r="R772" s="183"/>
      <c r="S772" s="183"/>
      <c r="T772" s="183"/>
      <c r="U772" s="183"/>
      <c r="V772" s="183"/>
      <c r="W772" s="183"/>
      <c r="X772" s="183"/>
      <c r="Y772" s="183"/>
      <c r="Z772" s="183"/>
    </row>
    <row r="773" spans="1:26" ht="15" customHeight="1" x14ac:dyDescent="0.25">
      <c r="A773" s="183"/>
      <c r="B773" s="183"/>
      <c r="C773" s="183"/>
      <c r="D773" s="183"/>
      <c r="E773" s="183"/>
      <c r="F773" s="183"/>
      <c r="G773" s="183"/>
      <c r="H773" s="183"/>
      <c r="I773" s="183"/>
      <c r="J773" s="183"/>
      <c r="K773" s="183"/>
      <c r="L773" s="183"/>
      <c r="M773" s="183"/>
      <c r="N773" s="183"/>
      <c r="O773" s="183"/>
      <c r="P773" s="183"/>
      <c r="Q773" s="183"/>
      <c r="R773" s="183"/>
      <c r="S773" s="183"/>
      <c r="T773" s="183"/>
      <c r="U773" s="183"/>
      <c r="V773" s="183"/>
      <c r="W773" s="183"/>
      <c r="X773" s="183"/>
      <c r="Y773" s="183"/>
      <c r="Z773" s="183"/>
    </row>
    <row r="774" spans="1:26" ht="15" customHeight="1" x14ac:dyDescent="0.25">
      <c r="A774" s="183"/>
      <c r="B774" s="183"/>
      <c r="C774" s="183"/>
      <c r="D774" s="183"/>
      <c r="E774" s="183"/>
      <c r="F774" s="183"/>
      <c r="G774" s="183"/>
      <c r="H774" s="183"/>
      <c r="I774" s="183"/>
      <c r="J774" s="183"/>
      <c r="K774" s="183"/>
      <c r="L774" s="183"/>
      <c r="M774" s="183"/>
      <c r="N774" s="183"/>
      <c r="O774" s="183"/>
      <c r="P774" s="183"/>
      <c r="Q774" s="183"/>
      <c r="R774" s="183"/>
      <c r="S774" s="183"/>
      <c r="T774" s="183"/>
      <c r="U774" s="183"/>
      <c r="V774" s="183"/>
      <c r="W774" s="183"/>
      <c r="X774" s="183"/>
      <c r="Y774" s="183"/>
      <c r="Z774" s="183"/>
    </row>
    <row r="775" spans="1:26" ht="15" customHeight="1" x14ac:dyDescent="0.25">
      <c r="A775" s="183"/>
      <c r="B775" s="183"/>
      <c r="C775" s="183"/>
      <c r="D775" s="183"/>
      <c r="E775" s="183"/>
      <c r="F775" s="183"/>
      <c r="G775" s="183"/>
      <c r="H775" s="183"/>
      <c r="I775" s="183"/>
      <c r="J775" s="183"/>
      <c r="K775" s="183"/>
      <c r="L775" s="183"/>
      <c r="M775" s="183"/>
      <c r="N775" s="183"/>
      <c r="O775" s="183"/>
      <c r="P775" s="183"/>
      <c r="Q775" s="183"/>
      <c r="R775" s="183"/>
      <c r="S775" s="183"/>
      <c r="T775" s="183"/>
      <c r="U775" s="183"/>
      <c r="V775" s="183"/>
      <c r="W775" s="183"/>
      <c r="X775" s="183"/>
      <c r="Y775" s="183"/>
      <c r="Z775" s="183"/>
    </row>
    <row r="776" spans="1:26" ht="15" customHeight="1" x14ac:dyDescent="0.25">
      <c r="A776" s="183"/>
      <c r="B776" s="183"/>
      <c r="C776" s="183"/>
      <c r="D776" s="183"/>
      <c r="E776" s="183"/>
      <c r="F776" s="183"/>
      <c r="G776" s="183"/>
      <c r="H776" s="183"/>
      <c r="I776" s="183"/>
      <c r="J776" s="183"/>
      <c r="K776" s="183"/>
      <c r="L776" s="183"/>
      <c r="M776" s="183"/>
      <c r="N776" s="183"/>
      <c r="O776" s="183"/>
      <c r="P776" s="183"/>
      <c r="Q776" s="183"/>
      <c r="R776" s="183"/>
      <c r="S776" s="183"/>
      <c r="T776" s="183"/>
      <c r="U776" s="183"/>
      <c r="V776" s="183"/>
      <c r="W776" s="183"/>
      <c r="X776" s="183"/>
      <c r="Y776" s="183"/>
      <c r="Z776" s="183"/>
    </row>
    <row r="777" spans="1:26" ht="15" customHeight="1" x14ac:dyDescent="0.25">
      <c r="A777" s="183"/>
      <c r="B777" s="183"/>
      <c r="C777" s="183"/>
      <c r="D777" s="183"/>
      <c r="E777" s="183"/>
      <c r="F777" s="183"/>
      <c r="G777" s="183"/>
      <c r="H777" s="183"/>
      <c r="I777" s="183"/>
      <c r="J777" s="183"/>
      <c r="K777" s="183"/>
      <c r="L777" s="183"/>
      <c r="M777" s="183"/>
      <c r="N777" s="183"/>
      <c r="O777" s="183"/>
      <c r="P777" s="183"/>
      <c r="Q777" s="183"/>
      <c r="R777" s="183"/>
      <c r="S777" s="183"/>
      <c r="T777" s="183"/>
      <c r="U777" s="183"/>
      <c r="V777" s="183"/>
      <c r="W777" s="183"/>
      <c r="X777" s="183"/>
      <c r="Y777" s="183"/>
      <c r="Z777" s="183"/>
    </row>
    <row r="778" spans="1:26" ht="15" customHeight="1" x14ac:dyDescent="0.25">
      <c r="A778" s="183"/>
      <c r="B778" s="183"/>
      <c r="C778" s="183"/>
      <c r="D778" s="183"/>
      <c r="E778" s="183"/>
      <c r="F778" s="183"/>
      <c r="G778" s="183"/>
      <c r="H778" s="183"/>
      <c r="I778" s="183"/>
      <c r="J778" s="183"/>
      <c r="K778" s="183"/>
      <c r="L778" s="183"/>
      <c r="M778" s="183"/>
      <c r="N778" s="183"/>
      <c r="O778" s="183"/>
      <c r="P778" s="183"/>
      <c r="Q778" s="183"/>
      <c r="R778" s="183"/>
      <c r="S778" s="183"/>
      <c r="T778" s="183"/>
      <c r="U778" s="183"/>
      <c r="V778" s="183"/>
      <c r="W778" s="183"/>
      <c r="X778" s="183"/>
      <c r="Y778" s="183"/>
      <c r="Z778" s="183"/>
    </row>
    <row r="779" spans="1:26" ht="15" customHeight="1" x14ac:dyDescent="0.25">
      <c r="A779" s="183"/>
      <c r="B779" s="183"/>
      <c r="C779" s="183"/>
      <c r="D779" s="183"/>
      <c r="E779" s="183"/>
      <c r="F779" s="183"/>
      <c r="G779" s="183"/>
      <c r="H779" s="183"/>
      <c r="I779" s="183"/>
      <c r="J779" s="183"/>
      <c r="K779" s="183"/>
      <c r="L779" s="183"/>
      <c r="M779" s="183"/>
      <c r="N779" s="183"/>
      <c r="O779" s="183"/>
      <c r="P779" s="183"/>
      <c r="Q779" s="183"/>
      <c r="R779" s="183"/>
      <c r="S779" s="183"/>
      <c r="T779" s="183"/>
      <c r="U779" s="183"/>
      <c r="V779" s="183"/>
      <c r="W779" s="183"/>
      <c r="X779" s="183"/>
      <c r="Y779" s="183"/>
      <c r="Z779" s="183"/>
    </row>
    <row r="780" spans="1:26" ht="15" customHeight="1" x14ac:dyDescent="0.25">
      <c r="A780" s="183"/>
      <c r="B780" s="183"/>
      <c r="C780" s="183"/>
      <c r="D780" s="183"/>
      <c r="E780" s="183"/>
      <c r="F780" s="183"/>
      <c r="G780" s="183"/>
      <c r="H780" s="183"/>
      <c r="I780" s="183"/>
      <c r="J780" s="183"/>
      <c r="K780" s="183"/>
      <c r="L780" s="183"/>
      <c r="M780" s="183"/>
      <c r="N780" s="183"/>
      <c r="O780" s="183"/>
      <c r="P780" s="183"/>
      <c r="Q780" s="183"/>
      <c r="R780" s="183"/>
      <c r="S780" s="183"/>
      <c r="T780" s="183"/>
      <c r="U780" s="183"/>
      <c r="V780" s="183"/>
      <c r="W780" s="183"/>
      <c r="X780" s="183"/>
      <c r="Y780" s="183"/>
      <c r="Z780" s="183"/>
    </row>
    <row r="781" spans="1:26" ht="15" customHeight="1" x14ac:dyDescent="0.25">
      <c r="A781" s="183"/>
      <c r="B781" s="183"/>
      <c r="C781" s="183"/>
      <c r="D781" s="183"/>
      <c r="E781" s="183"/>
      <c r="F781" s="183"/>
      <c r="G781" s="183"/>
      <c r="H781" s="183"/>
      <c r="I781" s="183"/>
      <c r="J781" s="183"/>
      <c r="K781" s="183"/>
      <c r="L781" s="183"/>
      <c r="M781" s="183"/>
      <c r="N781" s="183"/>
      <c r="O781" s="183"/>
      <c r="P781" s="183"/>
      <c r="Q781" s="183"/>
      <c r="R781" s="183"/>
      <c r="S781" s="183"/>
      <c r="T781" s="183"/>
      <c r="U781" s="183"/>
      <c r="V781" s="183"/>
      <c r="W781" s="183"/>
      <c r="X781" s="183"/>
      <c r="Y781" s="183"/>
      <c r="Z781" s="183"/>
    </row>
    <row r="782" spans="1:26" ht="15" customHeight="1" x14ac:dyDescent="0.25">
      <c r="A782" s="183"/>
      <c r="B782" s="183"/>
      <c r="C782" s="183"/>
      <c r="D782" s="183"/>
      <c r="E782" s="183"/>
      <c r="F782" s="183"/>
      <c r="G782" s="183"/>
      <c r="H782" s="183"/>
      <c r="I782" s="183"/>
      <c r="J782" s="183"/>
      <c r="K782" s="183"/>
      <c r="L782" s="183"/>
      <c r="M782" s="183"/>
      <c r="N782" s="183"/>
      <c r="O782" s="183"/>
      <c r="P782" s="183"/>
      <c r="Q782" s="183"/>
      <c r="R782" s="183"/>
      <c r="S782" s="183"/>
      <c r="T782" s="183"/>
      <c r="U782" s="183"/>
      <c r="V782" s="183"/>
      <c r="W782" s="183"/>
      <c r="X782" s="183"/>
      <c r="Y782" s="183"/>
      <c r="Z782" s="183"/>
    </row>
    <row r="783" spans="1:26" ht="15" customHeight="1" x14ac:dyDescent="0.25">
      <c r="A783" s="183"/>
      <c r="B783" s="183"/>
      <c r="C783" s="183"/>
      <c r="D783" s="183"/>
      <c r="E783" s="183"/>
      <c r="F783" s="183"/>
      <c r="G783" s="183"/>
      <c r="H783" s="183"/>
      <c r="I783" s="183"/>
      <c r="J783" s="183"/>
      <c r="K783" s="183"/>
      <c r="L783" s="183"/>
      <c r="M783" s="183"/>
      <c r="N783" s="183"/>
      <c r="O783" s="183"/>
      <c r="P783" s="183"/>
      <c r="Q783" s="183"/>
      <c r="R783" s="183"/>
      <c r="S783" s="183"/>
      <c r="T783" s="183"/>
      <c r="U783" s="183"/>
      <c r="V783" s="183"/>
      <c r="W783" s="183"/>
      <c r="X783" s="183"/>
      <c r="Y783" s="183"/>
      <c r="Z783" s="183"/>
    </row>
    <row r="784" spans="1:26" ht="15" customHeight="1" x14ac:dyDescent="0.25">
      <c r="A784" s="183"/>
      <c r="B784" s="183"/>
      <c r="C784" s="183"/>
      <c r="D784" s="183"/>
      <c r="E784" s="183"/>
      <c r="F784" s="183"/>
      <c r="G784" s="183"/>
      <c r="H784" s="183"/>
      <c r="I784" s="183"/>
      <c r="J784" s="183"/>
      <c r="K784" s="183"/>
      <c r="L784" s="183"/>
      <c r="M784" s="183"/>
      <c r="N784" s="183"/>
      <c r="O784" s="183"/>
      <c r="P784" s="183"/>
      <c r="Q784" s="183"/>
      <c r="R784" s="183"/>
      <c r="S784" s="183"/>
      <c r="T784" s="183"/>
      <c r="U784" s="183"/>
      <c r="V784" s="183"/>
      <c r="W784" s="183"/>
      <c r="X784" s="183"/>
      <c r="Y784" s="183"/>
      <c r="Z784" s="183"/>
    </row>
    <row r="785" spans="1:26" ht="15" customHeight="1" x14ac:dyDescent="0.25">
      <c r="A785" s="183"/>
      <c r="B785" s="183"/>
      <c r="C785" s="183"/>
      <c r="D785" s="183"/>
      <c r="E785" s="183"/>
      <c r="F785" s="183"/>
      <c r="G785" s="183"/>
      <c r="H785" s="183"/>
      <c r="I785" s="183"/>
      <c r="J785" s="183"/>
      <c r="K785" s="183"/>
      <c r="L785" s="183"/>
      <c r="M785" s="183"/>
      <c r="N785" s="183"/>
      <c r="O785" s="183"/>
      <c r="P785" s="183"/>
      <c r="Q785" s="183"/>
      <c r="R785" s="183"/>
      <c r="S785" s="183"/>
      <c r="T785" s="183"/>
      <c r="U785" s="183"/>
      <c r="V785" s="183"/>
      <c r="W785" s="183"/>
      <c r="X785" s="183"/>
      <c r="Y785" s="183"/>
      <c r="Z785" s="183"/>
    </row>
    <row r="786" spans="1:26" ht="15" customHeight="1" x14ac:dyDescent="0.25">
      <c r="A786" s="183"/>
      <c r="B786" s="183"/>
      <c r="C786" s="183"/>
      <c r="D786" s="183"/>
      <c r="E786" s="183"/>
      <c r="F786" s="183"/>
      <c r="G786" s="183"/>
      <c r="H786" s="183"/>
      <c r="I786" s="183"/>
      <c r="J786" s="183"/>
      <c r="K786" s="183"/>
      <c r="L786" s="183"/>
      <c r="M786" s="183"/>
      <c r="N786" s="183"/>
      <c r="O786" s="183"/>
      <c r="P786" s="183"/>
      <c r="Q786" s="183"/>
      <c r="R786" s="183"/>
      <c r="S786" s="183"/>
      <c r="T786" s="183"/>
      <c r="U786" s="183"/>
      <c r="V786" s="183"/>
      <c r="W786" s="183"/>
      <c r="X786" s="183"/>
      <c r="Y786" s="183"/>
      <c r="Z786" s="183"/>
    </row>
    <row r="787" spans="1:26" ht="15" customHeight="1" x14ac:dyDescent="0.25">
      <c r="A787" s="183"/>
      <c r="B787" s="183"/>
      <c r="C787" s="183"/>
      <c r="D787" s="183"/>
      <c r="E787" s="183"/>
      <c r="F787" s="183"/>
      <c r="G787" s="183"/>
      <c r="H787" s="183"/>
      <c r="I787" s="183"/>
      <c r="J787" s="183"/>
      <c r="K787" s="183"/>
      <c r="L787" s="183"/>
      <c r="M787" s="183"/>
      <c r="N787" s="183"/>
      <c r="O787" s="183"/>
      <c r="P787" s="183"/>
      <c r="Q787" s="183"/>
      <c r="R787" s="183"/>
      <c r="S787" s="183"/>
      <c r="T787" s="183"/>
      <c r="U787" s="183"/>
      <c r="V787" s="183"/>
      <c r="W787" s="183"/>
      <c r="X787" s="183"/>
      <c r="Y787" s="183"/>
      <c r="Z787" s="183"/>
    </row>
    <row r="788" spans="1:26" ht="15" customHeight="1" x14ac:dyDescent="0.25">
      <c r="A788" s="183"/>
      <c r="B788" s="183"/>
      <c r="C788" s="183"/>
      <c r="D788" s="183"/>
      <c r="E788" s="183"/>
      <c r="F788" s="183"/>
      <c r="G788" s="183"/>
      <c r="H788" s="183"/>
      <c r="I788" s="183"/>
      <c r="J788" s="183"/>
      <c r="K788" s="183"/>
      <c r="L788" s="183"/>
      <c r="M788" s="183"/>
      <c r="N788" s="183"/>
      <c r="O788" s="183"/>
      <c r="P788" s="183"/>
      <c r="Q788" s="183"/>
      <c r="R788" s="183"/>
      <c r="S788" s="183"/>
      <c r="T788" s="183"/>
      <c r="U788" s="183"/>
      <c r="V788" s="183"/>
      <c r="W788" s="183"/>
      <c r="X788" s="183"/>
      <c r="Y788" s="183"/>
      <c r="Z788" s="183"/>
    </row>
    <row r="789" spans="1:26" ht="15" customHeight="1" x14ac:dyDescent="0.25">
      <c r="A789" s="183"/>
      <c r="B789" s="183"/>
      <c r="C789" s="183"/>
      <c r="D789" s="183"/>
      <c r="E789" s="183"/>
      <c r="F789" s="183"/>
      <c r="G789" s="183"/>
      <c r="H789" s="183"/>
      <c r="I789" s="183"/>
      <c r="J789" s="183"/>
      <c r="K789" s="183"/>
      <c r="L789" s="183"/>
      <c r="M789" s="183"/>
      <c r="N789" s="183"/>
      <c r="O789" s="183"/>
      <c r="P789" s="183"/>
      <c r="Q789" s="183"/>
      <c r="R789" s="183"/>
      <c r="S789" s="183"/>
      <c r="T789" s="183"/>
      <c r="U789" s="183"/>
      <c r="V789" s="183"/>
      <c r="W789" s="183"/>
      <c r="X789" s="183"/>
      <c r="Y789" s="183"/>
      <c r="Z789" s="183"/>
    </row>
    <row r="790" spans="1:26" ht="15" customHeight="1" x14ac:dyDescent="0.25">
      <c r="A790" s="183"/>
      <c r="B790" s="183"/>
      <c r="C790" s="183"/>
      <c r="D790" s="183"/>
      <c r="E790" s="183"/>
      <c r="F790" s="183"/>
      <c r="G790" s="183"/>
      <c r="H790" s="183"/>
      <c r="I790" s="183"/>
      <c r="J790" s="183"/>
      <c r="K790" s="183"/>
      <c r="L790" s="183"/>
      <c r="M790" s="183"/>
      <c r="N790" s="183"/>
      <c r="O790" s="183"/>
      <c r="P790" s="183"/>
      <c r="Q790" s="183"/>
      <c r="R790" s="183"/>
      <c r="S790" s="183"/>
      <c r="T790" s="183"/>
      <c r="U790" s="183"/>
      <c r="V790" s="183"/>
      <c r="W790" s="183"/>
      <c r="X790" s="183"/>
      <c r="Y790" s="183"/>
      <c r="Z790" s="183"/>
    </row>
    <row r="791" spans="1:26" ht="15" customHeight="1" x14ac:dyDescent="0.25">
      <c r="A791" s="183"/>
      <c r="B791" s="183"/>
      <c r="C791" s="183"/>
      <c r="D791" s="183"/>
      <c r="E791" s="183"/>
      <c r="F791" s="183"/>
      <c r="G791" s="183"/>
      <c r="H791" s="183"/>
      <c r="I791" s="183"/>
      <c r="J791" s="183"/>
      <c r="K791" s="183"/>
      <c r="L791" s="183"/>
      <c r="M791" s="183"/>
      <c r="N791" s="183"/>
      <c r="O791" s="183"/>
      <c r="P791" s="183"/>
      <c r="Q791" s="183"/>
      <c r="R791" s="183"/>
      <c r="S791" s="183"/>
      <c r="T791" s="183"/>
      <c r="U791" s="183"/>
      <c r="V791" s="183"/>
      <c r="W791" s="183"/>
      <c r="X791" s="183"/>
      <c r="Y791" s="183"/>
      <c r="Z791" s="183"/>
    </row>
    <row r="792" spans="1:26" ht="15" customHeight="1" x14ac:dyDescent="0.25">
      <c r="A792" s="183"/>
      <c r="B792" s="183"/>
      <c r="C792" s="183"/>
      <c r="D792" s="183"/>
      <c r="E792" s="183"/>
      <c r="F792" s="183"/>
      <c r="G792" s="183"/>
      <c r="H792" s="183"/>
      <c r="I792" s="183"/>
      <c r="J792" s="183"/>
      <c r="K792" s="183"/>
      <c r="L792" s="183"/>
      <c r="M792" s="183"/>
      <c r="N792" s="183"/>
      <c r="O792" s="183"/>
      <c r="P792" s="183"/>
      <c r="Q792" s="183"/>
      <c r="R792" s="183"/>
      <c r="S792" s="183"/>
      <c r="T792" s="183"/>
      <c r="U792" s="183"/>
      <c r="V792" s="183"/>
      <c r="W792" s="183"/>
      <c r="X792" s="183"/>
      <c r="Y792" s="183"/>
      <c r="Z792" s="183"/>
    </row>
    <row r="793" spans="1:26" ht="15" customHeight="1" x14ac:dyDescent="0.25">
      <c r="A793" s="183"/>
      <c r="B793" s="183"/>
      <c r="C793" s="183"/>
      <c r="D793" s="183"/>
      <c r="E793" s="183"/>
      <c r="F793" s="183"/>
      <c r="G793" s="183"/>
      <c r="H793" s="183"/>
      <c r="I793" s="183"/>
      <c r="J793" s="183"/>
      <c r="K793" s="183"/>
      <c r="L793" s="183"/>
      <c r="M793" s="183"/>
      <c r="N793" s="183"/>
      <c r="O793" s="183"/>
      <c r="P793" s="183"/>
      <c r="Q793" s="183"/>
      <c r="R793" s="183"/>
      <c r="S793" s="183"/>
      <c r="T793" s="183"/>
      <c r="U793" s="183"/>
      <c r="V793" s="183"/>
      <c r="W793" s="183"/>
      <c r="X793" s="183"/>
      <c r="Y793" s="183"/>
      <c r="Z793" s="183"/>
    </row>
    <row r="794" spans="1:26" ht="15" customHeight="1" x14ac:dyDescent="0.25">
      <c r="A794" s="183"/>
      <c r="B794" s="183"/>
      <c r="C794" s="183"/>
      <c r="D794" s="183"/>
      <c r="E794" s="183"/>
      <c r="F794" s="183"/>
      <c r="G794" s="183"/>
      <c r="H794" s="183"/>
      <c r="I794" s="183"/>
      <c r="J794" s="183"/>
      <c r="K794" s="183"/>
      <c r="L794" s="183"/>
      <c r="M794" s="183"/>
      <c r="N794" s="183"/>
      <c r="O794" s="183"/>
      <c r="P794" s="183"/>
      <c r="Q794" s="183"/>
      <c r="R794" s="183"/>
      <c r="S794" s="183"/>
      <c r="T794" s="183"/>
      <c r="U794" s="183"/>
      <c r="V794" s="183"/>
      <c r="W794" s="183"/>
      <c r="X794" s="183"/>
      <c r="Y794" s="183"/>
      <c r="Z794" s="183"/>
    </row>
    <row r="795" spans="1:26" ht="15" customHeight="1" x14ac:dyDescent="0.25">
      <c r="A795" s="183"/>
      <c r="B795" s="183"/>
      <c r="C795" s="183"/>
      <c r="D795" s="183"/>
      <c r="E795" s="183"/>
      <c r="F795" s="183"/>
      <c r="G795" s="183"/>
      <c r="H795" s="183"/>
      <c r="I795" s="183"/>
      <c r="J795" s="183"/>
      <c r="K795" s="183"/>
      <c r="L795" s="183"/>
      <c r="M795" s="183"/>
      <c r="N795" s="183"/>
      <c r="O795" s="183"/>
      <c r="P795" s="183"/>
      <c r="Q795" s="183"/>
      <c r="R795" s="183"/>
      <c r="S795" s="183"/>
      <c r="T795" s="183"/>
      <c r="U795" s="183"/>
      <c r="V795" s="183"/>
      <c r="W795" s="183"/>
      <c r="X795" s="183"/>
      <c r="Y795" s="183"/>
      <c r="Z795" s="183"/>
    </row>
    <row r="796" spans="1:26" ht="15" customHeight="1" x14ac:dyDescent="0.25">
      <c r="A796" s="183"/>
      <c r="B796" s="183"/>
      <c r="C796" s="183"/>
      <c r="D796" s="183"/>
      <c r="E796" s="183"/>
      <c r="F796" s="183"/>
      <c r="G796" s="183"/>
      <c r="H796" s="183"/>
      <c r="I796" s="183"/>
      <c r="J796" s="183"/>
      <c r="K796" s="183"/>
      <c r="L796" s="183"/>
      <c r="M796" s="183"/>
      <c r="N796" s="183"/>
      <c r="O796" s="183"/>
      <c r="P796" s="183"/>
      <c r="Q796" s="183"/>
      <c r="R796" s="183"/>
      <c r="S796" s="183"/>
      <c r="T796" s="183"/>
      <c r="U796" s="183"/>
      <c r="V796" s="183"/>
      <c r="W796" s="183"/>
      <c r="X796" s="183"/>
      <c r="Y796" s="183"/>
      <c r="Z796" s="183"/>
    </row>
    <row r="797" spans="1:26" ht="15" customHeight="1" x14ac:dyDescent="0.25">
      <c r="A797" s="183"/>
      <c r="B797" s="183"/>
      <c r="C797" s="183"/>
      <c r="D797" s="183"/>
      <c r="E797" s="183"/>
      <c r="F797" s="183"/>
      <c r="G797" s="183"/>
      <c r="H797" s="183"/>
      <c r="I797" s="183"/>
      <c r="J797" s="183"/>
      <c r="K797" s="183"/>
      <c r="L797" s="183"/>
      <c r="M797" s="183"/>
      <c r="N797" s="183"/>
      <c r="O797" s="183"/>
      <c r="P797" s="183"/>
      <c r="Q797" s="183"/>
      <c r="R797" s="183"/>
      <c r="S797" s="183"/>
      <c r="T797" s="183"/>
      <c r="U797" s="183"/>
      <c r="V797" s="183"/>
      <c r="W797" s="183"/>
      <c r="X797" s="183"/>
      <c r="Y797" s="183"/>
      <c r="Z797" s="183"/>
    </row>
    <row r="798" spans="1:26" ht="15" customHeight="1" x14ac:dyDescent="0.25">
      <c r="A798" s="183"/>
      <c r="B798" s="183"/>
      <c r="C798" s="183"/>
      <c r="D798" s="183"/>
      <c r="E798" s="183"/>
      <c r="F798" s="183"/>
      <c r="G798" s="183"/>
      <c r="H798" s="183"/>
      <c r="I798" s="183"/>
      <c r="J798" s="183"/>
      <c r="K798" s="183"/>
      <c r="L798" s="183"/>
      <c r="M798" s="183"/>
      <c r="N798" s="183"/>
      <c r="O798" s="183"/>
      <c r="P798" s="183"/>
      <c r="Q798" s="183"/>
      <c r="R798" s="183"/>
      <c r="S798" s="183"/>
      <c r="T798" s="183"/>
      <c r="U798" s="183"/>
      <c r="V798" s="183"/>
      <c r="W798" s="183"/>
      <c r="X798" s="183"/>
      <c r="Y798" s="183"/>
      <c r="Z798" s="183"/>
    </row>
    <row r="799" spans="1:26" ht="15" customHeight="1" x14ac:dyDescent="0.25">
      <c r="A799" s="183"/>
      <c r="B799" s="183"/>
      <c r="C799" s="183"/>
      <c r="D799" s="183"/>
      <c r="E799" s="183"/>
      <c r="F799" s="183"/>
      <c r="G799" s="183"/>
      <c r="H799" s="183"/>
      <c r="I799" s="183"/>
      <c r="J799" s="183"/>
      <c r="K799" s="183"/>
      <c r="L799" s="183"/>
      <c r="M799" s="183"/>
      <c r="N799" s="183"/>
      <c r="O799" s="183"/>
      <c r="P799" s="183"/>
      <c r="Q799" s="183"/>
      <c r="R799" s="183"/>
      <c r="S799" s="183"/>
      <c r="T799" s="183"/>
      <c r="U799" s="183"/>
      <c r="V799" s="183"/>
      <c r="W799" s="183"/>
      <c r="X799" s="183"/>
      <c r="Y799" s="183"/>
      <c r="Z799" s="183"/>
    </row>
    <row r="800" spans="1:26" ht="15" customHeight="1" x14ac:dyDescent="0.25">
      <c r="A800" s="183"/>
      <c r="B800" s="183"/>
      <c r="C800" s="183"/>
      <c r="D800" s="183"/>
      <c r="E800" s="183"/>
      <c r="F800" s="183"/>
      <c r="G800" s="183"/>
      <c r="H800" s="183"/>
      <c r="I800" s="183"/>
      <c r="J800" s="183"/>
      <c r="K800" s="183"/>
      <c r="L800" s="183"/>
      <c r="M800" s="183"/>
      <c r="N800" s="183"/>
      <c r="O800" s="183"/>
      <c r="P800" s="183"/>
      <c r="Q800" s="183"/>
      <c r="R800" s="183"/>
      <c r="S800" s="183"/>
      <c r="T800" s="183"/>
      <c r="U800" s="183"/>
      <c r="V800" s="183"/>
      <c r="W800" s="183"/>
      <c r="X800" s="183"/>
      <c r="Y800" s="183"/>
      <c r="Z800" s="183"/>
    </row>
    <row r="801" spans="1:26" ht="15" customHeight="1" x14ac:dyDescent="0.25">
      <c r="A801" s="183"/>
      <c r="B801" s="183"/>
      <c r="C801" s="183"/>
      <c r="D801" s="183"/>
      <c r="E801" s="183"/>
      <c r="F801" s="183"/>
      <c r="G801" s="183"/>
      <c r="H801" s="183"/>
      <c r="I801" s="183"/>
      <c r="J801" s="183"/>
      <c r="K801" s="183"/>
      <c r="L801" s="183"/>
      <c r="M801" s="183"/>
      <c r="N801" s="183"/>
      <c r="O801" s="183"/>
      <c r="P801" s="183"/>
      <c r="Q801" s="183"/>
      <c r="R801" s="183"/>
      <c r="S801" s="183"/>
      <c r="T801" s="183"/>
      <c r="U801" s="183"/>
      <c r="V801" s="183"/>
      <c r="W801" s="183"/>
      <c r="X801" s="183"/>
      <c r="Y801" s="183"/>
      <c r="Z801" s="183"/>
    </row>
    <row r="802" spans="1:26" ht="15" customHeight="1" x14ac:dyDescent="0.25">
      <c r="A802" s="183"/>
      <c r="B802" s="183"/>
      <c r="C802" s="183"/>
      <c r="D802" s="183"/>
      <c r="E802" s="183"/>
      <c r="F802" s="183"/>
      <c r="G802" s="183"/>
      <c r="H802" s="183"/>
      <c r="I802" s="183"/>
      <c r="J802" s="183"/>
      <c r="K802" s="183"/>
      <c r="L802" s="183"/>
      <c r="M802" s="183"/>
      <c r="N802" s="183"/>
      <c r="O802" s="183"/>
      <c r="P802" s="183"/>
      <c r="Q802" s="183"/>
      <c r="R802" s="183"/>
      <c r="S802" s="183"/>
      <c r="T802" s="183"/>
      <c r="U802" s="183"/>
      <c r="V802" s="183"/>
      <c r="W802" s="183"/>
      <c r="X802" s="183"/>
      <c r="Y802" s="183"/>
      <c r="Z802" s="183"/>
    </row>
    <row r="803" spans="1:26" ht="15" customHeight="1" x14ac:dyDescent="0.25">
      <c r="A803" s="183"/>
      <c r="B803" s="183"/>
      <c r="C803" s="183"/>
      <c r="D803" s="183"/>
      <c r="E803" s="183"/>
      <c r="F803" s="183"/>
      <c r="G803" s="183"/>
      <c r="H803" s="183"/>
      <c r="I803" s="183"/>
      <c r="J803" s="183"/>
      <c r="K803" s="183"/>
      <c r="L803" s="183"/>
      <c r="M803" s="183"/>
      <c r="N803" s="183"/>
      <c r="O803" s="183"/>
      <c r="P803" s="183"/>
      <c r="Q803" s="183"/>
      <c r="R803" s="183"/>
      <c r="S803" s="183"/>
      <c r="T803" s="183"/>
      <c r="U803" s="183"/>
      <c r="V803" s="183"/>
      <c r="W803" s="183"/>
      <c r="X803" s="183"/>
      <c r="Y803" s="183"/>
      <c r="Z803" s="183"/>
    </row>
    <row r="804" spans="1:26" ht="15" customHeight="1" x14ac:dyDescent="0.25">
      <c r="A804" s="183"/>
      <c r="B804" s="183"/>
      <c r="C804" s="183"/>
      <c r="D804" s="183"/>
      <c r="E804" s="183"/>
      <c r="F804" s="183"/>
      <c r="G804" s="183"/>
      <c r="H804" s="183"/>
      <c r="I804" s="183"/>
      <c r="J804" s="183"/>
      <c r="K804" s="183"/>
      <c r="L804" s="183"/>
      <c r="M804" s="183"/>
      <c r="N804" s="183"/>
      <c r="O804" s="183"/>
      <c r="P804" s="183"/>
      <c r="Q804" s="183"/>
      <c r="R804" s="183"/>
      <c r="S804" s="183"/>
      <c r="T804" s="183"/>
      <c r="U804" s="183"/>
      <c r="V804" s="183"/>
      <c r="W804" s="183"/>
      <c r="X804" s="183"/>
      <c r="Y804" s="183"/>
      <c r="Z804" s="183"/>
    </row>
    <row r="805" spans="1:26" ht="15" customHeight="1" x14ac:dyDescent="0.25">
      <c r="A805" s="183"/>
      <c r="B805" s="183"/>
      <c r="C805" s="183"/>
      <c r="D805" s="183"/>
      <c r="E805" s="183"/>
      <c r="F805" s="183"/>
      <c r="G805" s="183"/>
      <c r="H805" s="183"/>
      <c r="I805" s="183"/>
      <c r="J805" s="183"/>
      <c r="K805" s="183"/>
      <c r="L805" s="183"/>
      <c r="M805" s="183"/>
      <c r="N805" s="183"/>
      <c r="O805" s="183"/>
      <c r="P805" s="183"/>
      <c r="Q805" s="183"/>
      <c r="R805" s="183"/>
      <c r="S805" s="183"/>
      <c r="T805" s="183"/>
      <c r="U805" s="183"/>
      <c r="V805" s="183"/>
      <c r="W805" s="183"/>
      <c r="X805" s="183"/>
      <c r="Y805" s="183"/>
      <c r="Z805" s="183"/>
    </row>
    <row r="806" spans="1:26" ht="15" customHeight="1" x14ac:dyDescent="0.25">
      <c r="A806" s="183"/>
      <c r="B806" s="183"/>
      <c r="C806" s="183"/>
      <c r="D806" s="183"/>
      <c r="E806" s="183"/>
      <c r="F806" s="183"/>
      <c r="G806" s="183"/>
      <c r="H806" s="183"/>
      <c r="I806" s="183"/>
      <c r="J806" s="183"/>
      <c r="K806" s="183"/>
      <c r="L806" s="183"/>
      <c r="M806" s="183"/>
      <c r="N806" s="183"/>
      <c r="O806" s="183"/>
      <c r="P806" s="183"/>
      <c r="Q806" s="183"/>
      <c r="R806" s="183"/>
      <c r="S806" s="183"/>
      <c r="T806" s="183"/>
      <c r="U806" s="183"/>
      <c r="V806" s="183"/>
      <c r="W806" s="183"/>
      <c r="X806" s="183"/>
      <c r="Y806" s="183"/>
      <c r="Z806" s="183"/>
    </row>
    <row r="807" spans="1:26" ht="15" customHeight="1" x14ac:dyDescent="0.25">
      <c r="A807" s="183"/>
      <c r="B807" s="183"/>
      <c r="C807" s="183"/>
      <c r="D807" s="183"/>
      <c r="E807" s="183"/>
      <c r="F807" s="183"/>
      <c r="G807" s="183"/>
      <c r="H807" s="183"/>
      <c r="I807" s="183"/>
      <c r="J807" s="183"/>
      <c r="K807" s="183"/>
      <c r="L807" s="183"/>
      <c r="M807" s="183"/>
      <c r="N807" s="183"/>
      <c r="O807" s="183"/>
      <c r="P807" s="183"/>
      <c r="Q807" s="183"/>
      <c r="R807" s="183"/>
      <c r="S807" s="183"/>
      <c r="T807" s="183"/>
      <c r="U807" s="183"/>
      <c r="V807" s="183"/>
      <c r="W807" s="183"/>
      <c r="X807" s="183"/>
      <c r="Y807" s="183"/>
      <c r="Z807" s="183"/>
    </row>
    <row r="808" spans="1:26" ht="15" customHeight="1" x14ac:dyDescent="0.25">
      <c r="A808" s="183"/>
      <c r="B808" s="183"/>
      <c r="C808" s="183"/>
      <c r="D808" s="183"/>
      <c r="E808" s="183"/>
      <c r="F808" s="183"/>
      <c r="G808" s="183"/>
      <c r="H808" s="183"/>
      <c r="I808" s="183"/>
      <c r="J808" s="183"/>
      <c r="K808" s="183"/>
      <c r="L808" s="183"/>
      <c r="M808" s="183"/>
      <c r="N808" s="183"/>
      <c r="O808" s="183"/>
      <c r="P808" s="183"/>
      <c r="Q808" s="183"/>
      <c r="R808" s="183"/>
      <c r="S808" s="183"/>
      <c r="T808" s="183"/>
      <c r="U808" s="183"/>
      <c r="V808" s="183"/>
      <c r="W808" s="183"/>
      <c r="X808" s="183"/>
      <c r="Y808" s="183"/>
      <c r="Z808" s="183"/>
    </row>
    <row r="809" spans="1:26" ht="15" customHeight="1" x14ac:dyDescent="0.25">
      <c r="A809" s="183"/>
      <c r="B809" s="183"/>
      <c r="C809" s="183"/>
      <c r="D809" s="183"/>
      <c r="E809" s="183"/>
      <c r="F809" s="183"/>
      <c r="G809" s="183"/>
      <c r="H809" s="183"/>
      <c r="I809" s="183"/>
      <c r="J809" s="183"/>
      <c r="K809" s="183"/>
      <c r="L809" s="183"/>
      <c r="M809" s="183"/>
      <c r="N809" s="183"/>
      <c r="O809" s="183"/>
      <c r="P809" s="183"/>
      <c r="Q809" s="183"/>
      <c r="R809" s="183"/>
      <c r="S809" s="183"/>
      <c r="T809" s="183"/>
      <c r="U809" s="183"/>
      <c r="V809" s="183"/>
      <c r="W809" s="183"/>
      <c r="X809" s="183"/>
      <c r="Y809" s="183"/>
      <c r="Z809" s="183"/>
    </row>
    <row r="810" spans="1:26" ht="15" customHeight="1" x14ac:dyDescent="0.25">
      <c r="A810" s="183"/>
      <c r="B810" s="183"/>
      <c r="C810" s="183"/>
      <c r="D810" s="183"/>
      <c r="E810" s="183"/>
      <c r="F810" s="183"/>
      <c r="G810" s="183"/>
      <c r="H810" s="183"/>
      <c r="I810" s="183"/>
      <c r="J810" s="183"/>
      <c r="K810" s="183"/>
      <c r="L810" s="183"/>
      <c r="M810" s="183"/>
      <c r="N810" s="183"/>
      <c r="O810" s="183"/>
      <c r="P810" s="183"/>
      <c r="Q810" s="183"/>
      <c r="R810" s="183"/>
      <c r="S810" s="183"/>
      <c r="T810" s="183"/>
      <c r="U810" s="183"/>
      <c r="V810" s="183"/>
      <c r="W810" s="183"/>
      <c r="X810" s="183"/>
      <c r="Y810" s="183"/>
      <c r="Z810" s="183"/>
    </row>
    <row r="811" spans="1:26" ht="15" customHeight="1" x14ac:dyDescent="0.25">
      <c r="A811" s="183"/>
      <c r="B811" s="183"/>
      <c r="C811" s="183"/>
      <c r="D811" s="183"/>
      <c r="E811" s="183"/>
      <c r="F811" s="183"/>
      <c r="G811" s="183"/>
      <c r="H811" s="183"/>
      <c r="I811" s="183"/>
      <c r="J811" s="183"/>
      <c r="K811" s="183"/>
      <c r="L811" s="183"/>
      <c r="M811" s="183"/>
      <c r="N811" s="183"/>
      <c r="O811" s="183"/>
      <c r="P811" s="183"/>
      <c r="Q811" s="183"/>
      <c r="R811" s="183"/>
      <c r="S811" s="183"/>
      <c r="T811" s="183"/>
      <c r="U811" s="183"/>
      <c r="V811" s="183"/>
      <c r="W811" s="183"/>
      <c r="X811" s="183"/>
      <c r="Y811" s="183"/>
      <c r="Z811" s="183"/>
    </row>
    <row r="812" spans="1:26" ht="15" customHeight="1" x14ac:dyDescent="0.25">
      <c r="A812" s="183"/>
      <c r="B812" s="183"/>
      <c r="C812" s="183"/>
      <c r="D812" s="183"/>
      <c r="E812" s="183"/>
      <c r="F812" s="183"/>
      <c r="G812" s="183"/>
      <c r="H812" s="183"/>
      <c r="I812" s="183"/>
      <c r="J812" s="183"/>
      <c r="K812" s="183"/>
      <c r="L812" s="183"/>
      <c r="M812" s="183"/>
      <c r="N812" s="183"/>
      <c r="O812" s="183"/>
      <c r="P812" s="183"/>
      <c r="Q812" s="183"/>
      <c r="R812" s="183"/>
      <c r="S812" s="183"/>
      <c r="T812" s="183"/>
      <c r="U812" s="183"/>
      <c r="V812" s="183"/>
      <c r="W812" s="183"/>
      <c r="X812" s="183"/>
      <c r="Y812" s="183"/>
      <c r="Z812" s="183"/>
    </row>
    <row r="813" spans="1:26" ht="15" customHeight="1" x14ac:dyDescent="0.25">
      <c r="A813" s="183"/>
      <c r="B813" s="183"/>
      <c r="C813" s="183"/>
      <c r="D813" s="183"/>
      <c r="E813" s="183"/>
      <c r="F813" s="183"/>
      <c r="G813" s="183"/>
      <c r="H813" s="183"/>
      <c r="I813" s="183"/>
      <c r="J813" s="183"/>
      <c r="K813" s="183"/>
      <c r="L813" s="183"/>
      <c r="M813" s="183"/>
      <c r="N813" s="183"/>
      <c r="O813" s="183"/>
      <c r="P813" s="183"/>
      <c r="Q813" s="183"/>
      <c r="R813" s="183"/>
      <c r="S813" s="183"/>
      <c r="T813" s="183"/>
      <c r="U813" s="183"/>
      <c r="V813" s="183"/>
      <c r="W813" s="183"/>
      <c r="X813" s="183"/>
      <c r="Y813" s="183"/>
      <c r="Z813" s="183"/>
    </row>
    <row r="814" spans="1:26" ht="15" customHeight="1" x14ac:dyDescent="0.25">
      <c r="A814" s="183"/>
      <c r="B814" s="183"/>
      <c r="C814" s="183"/>
      <c r="D814" s="183"/>
      <c r="E814" s="183"/>
      <c r="F814" s="183"/>
      <c r="G814" s="183"/>
      <c r="H814" s="183"/>
      <c r="I814" s="183"/>
      <c r="J814" s="183"/>
      <c r="K814" s="183"/>
      <c r="L814" s="183"/>
      <c r="M814" s="183"/>
      <c r="N814" s="183"/>
      <c r="O814" s="183"/>
      <c r="P814" s="183"/>
      <c r="Q814" s="183"/>
      <c r="R814" s="183"/>
      <c r="S814" s="183"/>
      <c r="T814" s="183"/>
      <c r="U814" s="183"/>
      <c r="V814" s="183"/>
      <c r="W814" s="183"/>
      <c r="X814" s="183"/>
      <c r="Y814" s="183"/>
      <c r="Z814" s="183"/>
    </row>
    <row r="815" spans="1:26" ht="15" customHeight="1" x14ac:dyDescent="0.25">
      <c r="A815" s="183"/>
      <c r="B815" s="183"/>
      <c r="C815" s="183"/>
      <c r="D815" s="183"/>
      <c r="E815" s="183"/>
      <c r="F815" s="183"/>
      <c r="G815" s="183"/>
      <c r="H815" s="183"/>
      <c r="I815" s="183"/>
      <c r="J815" s="183"/>
      <c r="K815" s="183"/>
      <c r="L815" s="183"/>
      <c r="M815" s="183"/>
      <c r="N815" s="183"/>
      <c r="O815" s="183"/>
      <c r="P815" s="183"/>
      <c r="Q815" s="183"/>
      <c r="R815" s="183"/>
      <c r="S815" s="183"/>
      <c r="T815" s="183"/>
      <c r="U815" s="183"/>
      <c r="V815" s="183"/>
      <c r="W815" s="183"/>
      <c r="X815" s="183"/>
      <c r="Y815" s="183"/>
      <c r="Z815" s="183"/>
    </row>
    <row r="816" spans="1:26" ht="15" customHeight="1" x14ac:dyDescent="0.25">
      <c r="A816" s="183"/>
      <c r="B816" s="183"/>
      <c r="C816" s="183"/>
      <c r="D816" s="183"/>
      <c r="E816" s="183"/>
      <c r="F816" s="183"/>
      <c r="G816" s="183"/>
      <c r="H816" s="183"/>
      <c r="I816" s="183"/>
      <c r="J816" s="183"/>
      <c r="K816" s="183"/>
      <c r="L816" s="183"/>
      <c r="M816" s="183"/>
      <c r="N816" s="183"/>
      <c r="O816" s="183"/>
      <c r="P816" s="183"/>
      <c r="Q816" s="183"/>
      <c r="R816" s="183"/>
      <c r="S816" s="183"/>
      <c r="T816" s="183"/>
      <c r="U816" s="183"/>
      <c r="V816" s="183"/>
      <c r="W816" s="183"/>
      <c r="X816" s="183"/>
      <c r="Y816" s="183"/>
      <c r="Z816" s="183"/>
    </row>
    <row r="817" spans="1:26" ht="15" customHeight="1" x14ac:dyDescent="0.25">
      <c r="A817" s="183"/>
      <c r="B817" s="183"/>
      <c r="C817" s="183"/>
      <c r="D817" s="183"/>
      <c r="E817" s="183"/>
      <c r="F817" s="183"/>
      <c r="G817" s="183"/>
      <c r="H817" s="183"/>
      <c r="I817" s="183"/>
      <c r="J817" s="183"/>
      <c r="K817" s="183"/>
      <c r="L817" s="183"/>
      <c r="M817" s="183"/>
      <c r="N817" s="183"/>
      <c r="O817" s="183"/>
      <c r="P817" s="183"/>
      <c r="Q817" s="183"/>
      <c r="R817" s="183"/>
      <c r="S817" s="183"/>
      <c r="T817" s="183"/>
      <c r="U817" s="183"/>
      <c r="V817" s="183"/>
      <c r="W817" s="183"/>
      <c r="X817" s="183"/>
      <c r="Y817" s="183"/>
      <c r="Z817" s="183"/>
    </row>
    <row r="818" spans="1:26" ht="15" customHeight="1" x14ac:dyDescent="0.25">
      <c r="A818" s="183"/>
      <c r="B818" s="183"/>
      <c r="C818" s="183"/>
      <c r="D818" s="183"/>
      <c r="E818" s="183"/>
      <c r="F818" s="183"/>
      <c r="G818" s="183"/>
      <c r="H818" s="183"/>
      <c r="I818" s="183"/>
      <c r="J818" s="183"/>
      <c r="K818" s="183"/>
      <c r="L818" s="183"/>
      <c r="M818" s="183"/>
      <c r="N818" s="183"/>
      <c r="O818" s="183"/>
      <c r="P818" s="183"/>
      <c r="Q818" s="183"/>
      <c r="R818" s="183"/>
      <c r="S818" s="183"/>
      <c r="T818" s="183"/>
      <c r="U818" s="183"/>
      <c r="V818" s="183"/>
      <c r="W818" s="183"/>
      <c r="X818" s="183"/>
      <c r="Y818" s="183"/>
      <c r="Z818" s="183"/>
    </row>
    <row r="819" spans="1:26" ht="15" customHeight="1" x14ac:dyDescent="0.25">
      <c r="A819" s="183"/>
      <c r="B819" s="183"/>
      <c r="C819" s="183"/>
      <c r="D819" s="183"/>
      <c r="E819" s="183"/>
      <c r="F819" s="183"/>
      <c r="G819" s="183"/>
      <c r="H819" s="183"/>
      <c r="I819" s="183"/>
      <c r="J819" s="183"/>
      <c r="K819" s="183"/>
      <c r="L819" s="183"/>
      <c r="M819" s="183"/>
      <c r="N819" s="183"/>
      <c r="O819" s="183"/>
      <c r="P819" s="183"/>
      <c r="Q819" s="183"/>
      <c r="R819" s="183"/>
      <c r="S819" s="183"/>
      <c r="T819" s="183"/>
      <c r="U819" s="183"/>
      <c r="V819" s="183"/>
      <c r="W819" s="183"/>
      <c r="X819" s="183"/>
      <c r="Y819" s="183"/>
      <c r="Z819" s="183"/>
    </row>
    <row r="820" spans="1:26" ht="15" customHeight="1" x14ac:dyDescent="0.25">
      <c r="A820" s="183"/>
      <c r="B820" s="183"/>
      <c r="C820" s="183"/>
      <c r="D820" s="183"/>
      <c r="E820" s="183"/>
      <c r="F820" s="183"/>
      <c r="G820" s="183"/>
      <c r="H820" s="183"/>
      <c r="I820" s="183"/>
      <c r="J820" s="183"/>
      <c r="K820" s="183"/>
      <c r="L820" s="183"/>
      <c r="M820" s="183"/>
      <c r="N820" s="183"/>
      <c r="O820" s="183"/>
      <c r="P820" s="183"/>
      <c r="Q820" s="183"/>
      <c r="R820" s="183"/>
      <c r="S820" s="183"/>
      <c r="T820" s="183"/>
      <c r="U820" s="183"/>
      <c r="V820" s="183"/>
      <c r="W820" s="183"/>
      <c r="X820" s="183"/>
      <c r="Y820" s="183"/>
      <c r="Z820" s="183"/>
    </row>
    <row r="821" spans="1:26" ht="15" customHeight="1" x14ac:dyDescent="0.25">
      <c r="A821" s="183"/>
      <c r="B821" s="183"/>
      <c r="C821" s="183"/>
      <c r="D821" s="183"/>
      <c r="E821" s="183"/>
      <c r="F821" s="183"/>
      <c r="G821" s="183"/>
      <c r="H821" s="183"/>
      <c r="I821" s="183"/>
      <c r="J821" s="183"/>
      <c r="K821" s="183"/>
      <c r="L821" s="183"/>
      <c r="M821" s="183"/>
      <c r="N821" s="183"/>
      <c r="O821" s="183"/>
      <c r="P821" s="183"/>
      <c r="Q821" s="183"/>
      <c r="R821" s="183"/>
      <c r="S821" s="183"/>
      <c r="T821" s="183"/>
      <c r="U821" s="183"/>
      <c r="V821" s="183"/>
      <c r="W821" s="183"/>
      <c r="X821" s="183"/>
      <c r="Y821" s="183"/>
      <c r="Z821" s="183"/>
    </row>
    <row r="822" spans="1:26" ht="15" customHeight="1" x14ac:dyDescent="0.25">
      <c r="A822" s="183"/>
      <c r="B822" s="183"/>
      <c r="C822" s="183"/>
      <c r="D822" s="183"/>
      <c r="E822" s="183"/>
      <c r="F822" s="183"/>
      <c r="G822" s="183"/>
      <c r="H822" s="183"/>
      <c r="I822" s="183"/>
      <c r="J822" s="183"/>
      <c r="K822" s="183"/>
      <c r="L822" s="183"/>
      <c r="M822" s="183"/>
      <c r="N822" s="183"/>
      <c r="O822" s="183"/>
      <c r="P822" s="183"/>
      <c r="Q822" s="183"/>
      <c r="R822" s="183"/>
      <c r="S822" s="183"/>
      <c r="T822" s="183"/>
      <c r="U822" s="183"/>
      <c r="V822" s="183"/>
      <c r="W822" s="183"/>
      <c r="X822" s="183"/>
      <c r="Y822" s="183"/>
      <c r="Z822" s="183"/>
    </row>
    <row r="823" spans="1:26" ht="15" customHeight="1" x14ac:dyDescent="0.25">
      <c r="A823" s="183"/>
      <c r="B823" s="183"/>
      <c r="C823" s="183"/>
      <c r="D823" s="183"/>
      <c r="E823" s="183"/>
      <c r="F823" s="183"/>
      <c r="G823" s="183"/>
      <c r="H823" s="183"/>
      <c r="I823" s="183"/>
      <c r="J823" s="183"/>
      <c r="K823" s="183"/>
      <c r="L823" s="183"/>
      <c r="M823" s="183"/>
      <c r="N823" s="183"/>
      <c r="O823" s="183"/>
      <c r="P823" s="183"/>
      <c r="Q823" s="183"/>
      <c r="R823" s="183"/>
      <c r="S823" s="183"/>
      <c r="T823" s="183"/>
      <c r="U823" s="183"/>
      <c r="V823" s="183"/>
      <c r="W823" s="183"/>
      <c r="X823" s="183"/>
      <c r="Y823" s="183"/>
      <c r="Z823" s="183"/>
    </row>
    <row r="824" spans="1:26" ht="15" customHeight="1" x14ac:dyDescent="0.25">
      <c r="A824" s="183"/>
      <c r="B824" s="183"/>
      <c r="C824" s="183"/>
      <c r="D824" s="183"/>
      <c r="E824" s="183"/>
      <c r="F824" s="183"/>
      <c r="G824" s="183"/>
      <c r="H824" s="183"/>
      <c r="I824" s="183"/>
      <c r="J824" s="183"/>
      <c r="K824" s="183"/>
      <c r="L824" s="183"/>
      <c r="M824" s="183"/>
      <c r="N824" s="183"/>
      <c r="O824" s="183"/>
      <c r="P824" s="183"/>
      <c r="Q824" s="183"/>
      <c r="R824" s="183"/>
      <c r="S824" s="183"/>
      <c r="T824" s="183"/>
      <c r="U824" s="183"/>
      <c r="V824" s="183"/>
      <c r="W824" s="183"/>
      <c r="X824" s="183"/>
      <c r="Y824" s="183"/>
      <c r="Z824" s="183"/>
    </row>
    <row r="825" spans="1:26" ht="15" customHeight="1" x14ac:dyDescent="0.25">
      <c r="A825" s="183"/>
      <c r="B825" s="183"/>
      <c r="C825" s="183"/>
      <c r="D825" s="183"/>
      <c r="E825" s="183"/>
      <c r="F825" s="183"/>
      <c r="G825" s="183"/>
      <c r="H825" s="183"/>
      <c r="I825" s="183"/>
      <c r="J825" s="183"/>
      <c r="K825" s="183"/>
      <c r="L825" s="183"/>
      <c r="M825" s="183"/>
      <c r="N825" s="183"/>
      <c r="O825" s="183"/>
      <c r="P825" s="183"/>
      <c r="Q825" s="183"/>
      <c r="R825" s="183"/>
      <c r="S825" s="183"/>
      <c r="T825" s="183"/>
      <c r="U825" s="183"/>
      <c r="V825" s="183"/>
      <c r="W825" s="183"/>
      <c r="X825" s="183"/>
      <c r="Y825" s="183"/>
      <c r="Z825" s="183"/>
    </row>
    <row r="826" spans="1:26" ht="15" customHeight="1" x14ac:dyDescent="0.25">
      <c r="A826" s="183"/>
      <c r="B826" s="183"/>
      <c r="C826" s="183"/>
      <c r="D826" s="183"/>
      <c r="E826" s="183"/>
      <c r="F826" s="183"/>
      <c r="G826" s="183"/>
      <c r="H826" s="183"/>
      <c r="I826" s="183"/>
      <c r="J826" s="183"/>
      <c r="K826" s="183"/>
      <c r="L826" s="183"/>
      <c r="M826" s="183"/>
      <c r="N826" s="183"/>
      <c r="O826" s="183"/>
      <c r="P826" s="183"/>
      <c r="Q826" s="183"/>
      <c r="R826" s="183"/>
      <c r="S826" s="183"/>
      <c r="T826" s="183"/>
      <c r="U826" s="183"/>
      <c r="V826" s="183"/>
      <c r="W826" s="183"/>
      <c r="X826" s="183"/>
      <c r="Y826" s="183"/>
      <c r="Z826" s="183"/>
    </row>
    <row r="827" spans="1:26" ht="15" customHeight="1" x14ac:dyDescent="0.25">
      <c r="A827" s="183"/>
      <c r="B827" s="183"/>
      <c r="C827" s="183"/>
      <c r="D827" s="183"/>
      <c r="E827" s="183"/>
      <c r="F827" s="183"/>
      <c r="G827" s="183"/>
      <c r="H827" s="183"/>
      <c r="I827" s="183"/>
      <c r="J827" s="183"/>
      <c r="K827" s="183"/>
      <c r="L827" s="183"/>
      <c r="M827" s="183"/>
      <c r="N827" s="183"/>
      <c r="O827" s="183"/>
      <c r="P827" s="183"/>
      <c r="Q827" s="183"/>
      <c r="R827" s="183"/>
      <c r="S827" s="183"/>
      <c r="T827" s="183"/>
      <c r="U827" s="183"/>
      <c r="V827" s="183"/>
      <c r="W827" s="183"/>
      <c r="X827" s="183"/>
      <c r="Y827" s="183"/>
      <c r="Z827" s="183"/>
    </row>
    <row r="828" spans="1:26" ht="15" customHeight="1" x14ac:dyDescent="0.25">
      <c r="A828" s="183"/>
      <c r="B828" s="183"/>
      <c r="C828" s="183"/>
      <c r="D828" s="183"/>
      <c r="E828" s="183"/>
      <c r="F828" s="183"/>
      <c r="G828" s="183"/>
      <c r="H828" s="183"/>
      <c r="I828" s="183"/>
      <c r="J828" s="183"/>
      <c r="K828" s="183"/>
      <c r="L828" s="183"/>
      <c r="M828" s="183"/>
      <c r="N828" s="183"/>
      <c r="O828" s="183"/>
      <c r="P828" s="183"/>
      <c r="Q828" s="183"/>
      <c r="R828" s="183"/>
      <c r="S828" s="183"/>
      <c r="T828" s="183"/>
      <c r="U828" s="183"/>
      <c r="V828" s="183"/>
      <c r="W828" s="183"/>
      <c r="X828" s="183"/>
      <c r="Y828" s="183"/>
      <c r="Z828" s="183"/>
    </row>
    <row r="829" spans="1:26" ht="15" customHeight="1" x14ac:dyDescent="0.25">
      <c r="A829" s="183"/>
      <c r="B829" s="183"/>
      <c r="C829" s="183"/>
      <c r="D829" s="183"/>
      <c r="E829" s="183"/>
      <c r="F829" s="183"/>
      <c r="G829" s="183"/>
      <c r="H829" s="183"/>
      <c r="I829" s="183"/>
      <c r="J829" s="183"/>
      <c r="K829" s="183"/>
      <c r="L829" s="183"/>
      <c r="M829" s="183"/>
      <c r="N829" s="183"/>
      <c r="O829" s="183"/>
      <c r="P829" s="183"/>
      <c r="Q829" s="183"/>
      <c r="R829" s="183"/>
      <c r="S829" s="183"/>
      <c r="T829" s="183"/>
      <c r="U829" s="183"/>
      <c r="V829" s="183"/>
      <c r="W829" s="183"/>
      <c r="X829" s="183"/>
      <c r="Y829" s="183"/>
      <c r="Z829" s="183"/>
    </row>
    <row r="830" spans="1:26" ht="15" customHeight="1" x14ac:dyDescent="0.25">
      <c r="A830" s="183"/>
      <c r="B830" s="183"/>
      <c r="C830" s="183"/>
      <c r="D830" s="183"/>
      <c r="E830" s="183"/>
      <c r="F830" s="183"/>
      <c r="G830" s="183"/>
      <c r="H830" s="183"/>
      <c r="I830" s="183"/>
      <c r="J830" s="183"/>
      <c r="K830" s="183"/>
      <c r="L830" s="183"/>
      <c r="M830" s="183"/>
      <c r="N830" s="183"/>
      <c r="O830" s="183"/>
      <c r="P830" s="183"/>
      <c r="Q830" s="183"/>
      <c r="R830" s="183"/>
      <c r="S830" s="183"/>
      <c r="T830" s="183"/>
      <c r="U830" s="183"/>
      <c r="V830" s="183"/>
      <c r="W830" s="183"/>
      <c r="X830" s="183"/>
      <c r="Y830" s="183"/>
      <c r="Z830" s="183"/>
    </row>
    <row r="831" spans="1:26" ht="15" customHeight="1" x14ac:dyDescent="0.25">
      <c r="A831" s="183"/>
      <c r="B831" s="183"/>
      <c r="C831" s="183"/>
      <c r="D831" s="183"/>
      <c r="E831" s="183"/>
      <c r="F831" s="183"/>
      <c r="G831" s="183"/>
      <c r="H831" s="183"/>
      <c r="I831" s="183"/>
      <c r="J831" s="183"/>
      <c r="K831" s="183"/>
      <c r="L831" s="183"/>
      <c r="M831" s="183"/>
      <c r="N831" s="183"/>
      <c r="O831" s="183"/>
      <c r="P831" s="183"/>
      <c r="Q831" s="183"/>
      <c r="R831" s="183"/>
      <c r="S831" s="183"/>
      <c r="T831" s="183"/>
      <c r="U831" s="183"/>
      <c r="V831" s="183"/>
      <c r="W831" s="183"/>
      <c r="X831" s="183"/>
      <c r="Y831" s="183"/>
      <c r="Z831" s="183"/>
    </row>
    <row r="832" spans="1:26" ht="15" customHeight="1" x14ac:dyDescent="0.25">
      <c r="A832" s="183"/>
      <c r="B832" s="183"/>
      <c r="C832" s="183"/>
      <c r="D832" s="183"/>
      <c r="E832" s="183"/>
      <c r="F832" s="183"/>
      <c r="G832" s="183"/>
      <c r="H832" s="183"/>
      <c r="I832" s="183"/>
      <c r="J832" s="183"/>
      <c r="K832" s="183"/>
      <c r="L832" s="183"/>
      <c r="M832" s="183"/>
      <c r="N832" s="183"/>
      <c r="O832" s="183"/>
      <c r="P832" s="183"/>
      <c r="Q832" s="183"/>
      <c r="R832" s="183"/>
      <c r="S832" s="183"/>
      <c r="T832" s="183"/>
      <c r="U832" s="183"/>
      <c r="V832" s="183"/>
      <c r="W832" s="183"/>
      <c r="X832" s="183"/>
      <c r="Y832" s="183"/>
      <c r="Z832" s="183"/>
    </row>
    <row r="833" spans="1:26" ht="15" customHeight="1" x14ac:dyDescent="0.25">
      <c r="A833" s="183"/>
      <c r="B833" s="183"/>
      <c r="C833" s="183"/>
      <c r="D833" s="183"/>
      <c r="E833" s="183"/>
      <c r="F833" s="183"/>
      <c r="G833" s="183"/>
      <c r="H833" s="183"/>
      <c r="I833" s="183"/>
      <c r="J833" s="183"/>
      <c r="K833" s="183"/>
      <c r="L833" s="183"/>
      <c r="M833" s="183"/>
      <c r="N833" s="183"/>
      <c r="O833" s="183"/>
      <c r="P833" s="183"/>
      <c r="Q833" s="183"/>
      <c r="R833" s="183"/>
      <c r="S833" s="183"/>
      <c r="T833" s="183"/>
      <c r="U833" s="183"/>
      <c r="V833" s="183"/>
      <c r="W833" s="183"/>
      <c r="X833" s="183"/>
      <c r="Y833" s="183"/>
      <c r="Z833" s="183"/>
    </row>
    <row r="834" spans="1:26" ht="15" customHeight="1" x14ac:dyDescent="0.25">
      <c r="A834" s="183"/>
      <c r="B834" s="183"/>
      <c r="C834" s="183"/>
      <c r="D834" s="183"/>
      <c r="E834" s="183"/>
      <c r="F834" s="183"/>
      <c r="G834" s="183"/>
      <c r="H834" s="183"/>
      <c r="I834" s="183"/>
      <c r="J834" s="183"/>
      <c r="K834" s="183"/>
      <c r="L834" s="183"/>
      <c r="M834" s="183"/>
      <c r="N834" s="183"/>
      <c r="O834" s="183"/>
      <c r="P834" s="183"/>
      <c r="Q834" s="183"/>
      <c r="R834" s="183"/>
      <c r="S834" s="183"/>
      <c r="T834" s="183"/>
      <c r="U834" s="183"/>
      <c r="V834" s="183"/>
      <c r="W834" s="183"/>
      <c r="X834" s="183"/>
      <c r="Y834" s="183"/>
      <c r="Z834" s="183"/>
    </row>
    <row r="835" spans="1:26" ht="15" customHeight="1" x14ac:dyDescent="0.25">
      <c r="A835" s="183"/>
      <c r="B835" s="183"/>
      <c r="C835" s="183"/>
      <c r="D835" s="183"/>
      <c r="E835" s="183"/>
      <c r="F835" s="183"/>
      <c r="G835" s="183"/>
      <c r="H835" s="183"/>
      <c r="I835" s="183"/>
      <c r="J835" s="183"/>
      <c r="K835" s="183"/>
      <c r="L835" s="183"/>
      <c r="M835" s="183"/>
      <c r="N835" s="183"/>
      <c r="O835" s="183"/>
      <c r="P835" s="183"/>
      <c r="Q835" s="183"/>
      <c r="R835" s="183"/>
      <c r="S835" s="183"/>
      <c r="T835" s="183"/>
      <c r="U835" s="183"/>
      <c r="V835" s="183"/>
      <c r="W835" s="183"/>
      <c r="X835" s="183"/>
      <c r="Y835" s="183"/>
      <c r="Z835" s="183"/>
    </row>
    <row r="836" spans="1:26" ht="15" customHeight="1" x14ac:dyDescent="0.25">
      <c r="A836" s="183"/>
      <c r="B836" s="183"/>
      <c r="C836" s="183"/>
      <c r="D836" s="183"/>
      <c r="E836" s="183"/>
      <c r="F836" s="183"/>
      <c r="G836" s="183"/>
      <c r="H836" s="183"/>
      <c r="I836" s="183"/>
      <c r="J836" s="183"/>
      <c r="K836" s="183"/>
      <c r="L836" s="183"/>
      <c r="M836" s="183"/>
      <c r="N836" s="183"/>
      <c r="O836" s="183"/>
      <c r="P836" s="183"/>
      <c r="Q836" s="183"/>
      <c r="R836" s="183"/>
      <c r="S836" s="183"/>
      <c r="T836" s="183"/>
      <c r="U836" s="183"/>
      <c r="V836" s="183"/>
      <c r="W836" s="183"/>
      <c r="X836" s="183"/>
      <c r="Y836" s="183"/>
      <c r="Z836" s="183"/>
    </row>
    <row r="837" spans="1:26" ht="15" customHeight="1" x14ac:dyDescent="0.25">
      <c r="A837" s="183"/>
      <c r="B837" s="183"/>
      <c r="C837" s="183"/>
      <c r="D837" s="183"/>
      <c r="E837" s="183"/>
      <c r="F837" s="183"/>
      <c r="G837" s="183"/>
      <c r="H837" s="183"/>
      <c r="I837" s="183"/>
      <c r="J837" s="183"/>
      <c r="K837" s="183"/>
      <c r="L837" s="183"/>
      <c r="M837" s="183"/>
      <c r="N837" s="183"/>
      <c r="O837" s="183"/>
      <c r="P837" s="183"/>
      <c r="Q837" s="183"/>
      <c r="R837" s="183"/>
      <c r="S837" s="183"/>
      <c r="T837" s="183"/>
      <c r="U837" s="183"/>
      <c r="V837" s="183"/>
      <c r="W837" s="183"/>
      <c r="X837" s="183"/>
      <c r="Y837" s="183"/>
      <c r="Z837" s="183"/>
    </row>
    <row r="838" spans="1:26" ht="15" customHeight="1" x14ac:dyDescent="0.25">
      <c r="A838" s="183"/>
      <c r="B838" s="183"/>
      <c r="C838" s="183"/>
      <c r="D838" s="183"/>
      <c r="E838" s="183"/>
      <c r="F838" s="183"/>
      <c r="G838" s="183"/>
      <c r="H838" s="183"/>
      <c r="I838" s="183"/>
      <c r="J838" s="183"/>
      <c r="K838" s="183"/>
      <c r="L838" s="183"/>
      <c r="M838" s="183"/>
      <c r="N838" s="183"/>
      <c r="O838" s="183"/>
      <c r="P838" s="183"/>
      <c r="Q838" s="183"/>
      <c r="R838" s="183"/>
      <c r="S838" s="183"/>
      <c r="T838" s="183"/>
      <c r="U838" s="183"/>
      <c r="V838" s="183"/>
      <c r="W838" s="183"/>
      <c r="X838" s="183"/>
      <c r="Y838" s="183"/>
      <c r="Z838" s="183"/>
    </row>
    <row r="839" spans="1:26" ht="15" customHeight="1" x14ac:dyDescent="0.25">
      <c r="A839" s="183"/>
      <c r="B839" s="183"/>
      <c r="C839" s="183"/>
      <c r="D839" s="183"/>
      <c r="E839" s="183"/>
      <c r="F839" s="183"/>
      <c r="G839" s="183"/>
      <c r="H839" s="183"/>
      <c r="I839" s="183"/>
      <c r="J839" s="183"/>
      <c r="K839" s="183"/>
      <c r="L839" s="183"/>
      <c r="M839" s="183"/>
      <c r="N839" s="183"/>
      <c r="O839" s="183"/>
      <c r="P839" s="183"/>
      <c r="Q839" s="183"/>
      <c r="R839" s="183"/>
      <c r="S839" s="183"/>
      <c r="T839" s="183"/>
      <c r="U839" s="183"/>
      <c r="V839" s="183"/>
      <c r="W839" s="183"/>
      <c r="X839" s="183"/>
      <c r="Y839" s="183"/>
      <c r="Z839" s="183"/>
    </row>
    <row r="840" spans="1:26" ht="15" customHeight="1" x14ac:dyDescent="0.25">
      <c r="A840" s="183"/>
      <c r="B840" s="183"/>
      <c r="C840" s="183"/>
      <c r="D840" s="183"/>
      <c r="E840" s="183"/>
      <c r="F840" s="183"/>
      <c r="G840" s="183"/>
      <c r="H840" s="183"/>
      <c r="I840" s="183"/>
      <c r="J840" s="183"/>
      <c r="K840" s="183"/>
      <c r="L840" s="183"/>
      <c r="M840" s="183"/>
      <c r="N840" s="183"/>
      <c r="O840" s="183"/>
      <c r="P840" s="183"/>
      <c r="Q840" s="183"/>
      <c r="R840" s="183"/>
      <c r="S840" s="183"/>
      <c r="T840" s="183"/>
      <c r="U840" s="183"/>
      <c r="V840" s="183"/>
      <c r="W840" s="183"/>
      <c r="X840" s="183"/>
      <c r="Y840" s="183"/>
      <c r="Z840" s="183"/>
    </row>
    <row r="841" spans="1:26" ht="15" customHeight="1" x14ac:dyDescent="0.25">
      <c r="A841" s="183"/>
      <c r="B841" s="183"/>
      <c r="C841" s="183"/>
      <c r="D841" s="183"/>
      <c r="E841" s="183"/>
      <c r="F841" s="183"/>
      <c r="G841" s="183"/>
      <c r="H841" s="183"/>
      <c r="I841" s="183"/>
      <c r="J841" s="183"/>
      <c r="K841" s="183"/>
      <c r="L841" s="183"/>
      <c r="M841" s="183"/>
      <c r="N841" s="183"/>
      <c r="O841" s="183"/>
      <c r="P841" s="183"/>
      <c r="Q841" s="183"/>
      <c r="R841" s="183"/>
      <c r="S841" s="183"/>
      <c r="T841" s="183"/>
      <c r="U841" s="183"/>
      <c r="V841" s="183"/>
      <c r="W841" s="183"/>
      <c r="X841" s="183"/>
      <c r="Y841" s="183"/>
      <c r="Z841" s="183"/>
    </row>
    <row r="842" spans="1:26" ht="15" customHeight="1" x14ac:dyDescent="0.25">
      <c r="A842" s="183"/>
      <c r="B842" s="183"/>
      <c r="C842" s="183"/>
      <c r="D842" s="183"/>
      <c r="E842" s="183"/>
      <c r="F842" s="183"/>
      <c r="G842" s="183"/>
      <c r="H842" s="183"/>
      <c r="I842" s="183"/>
      <c r="J842" s="183"/>
      <c r="K842" s="183"/>
      <c r="L842" s="183"/>
      <c r="M842" s="183"/>
      <c r="N842" s="183"/>
      <c r="O842" s="183"/>
      <c r="P842" s="183"/>
      <c r="Q842" s="183"/>
      <c r="R842" s="183"/>
      <c r="S842" s="183"/>
      <c r="T842" s="183"/>
      <c r="U842" s="183"/>
      <c r="V842" s="183"/>
      <c r="W842" s="183"/>
      <c r="X842" s="183"/>
      <c r="Y842" s="183"/>
      <c r="Z842" s="183"/>
    </row>
    <row r="843" spans="1:26" ht="15" customHeight="1" x14ac:dyDescent="0.25">
      <c r="A843" s="183"/>
      <c r="B843" s="183"/>
      <c r="C843" s="183"/>
      <c r="D843" s="183"/>
      <c r="E843" s="183"/>
      <c r="F843" s="183"/>
      <c r="G843" s="183"/>
      <c r="H843" s="183"/>
      <c r="I843" s="183"/>
      <c r="J843" s="183"/>
      <c r="K843" s="183"/>
      <c r="L843" s="183"/>
      <c r="M843" s="183"/>
      <c r="N843" s="183"/>
      <c r="O843" s="183"/>
      <c r="P843" s="183"/>
      <c r="Q843" s="183"/>
      <c r="R843" s="183"/>
      <c r="S843" s="183"/>
      <c r="T843" s="183"/>
      <c r="U843" s="183"/>
      <c r="V843" s="183"/>
      <c r="W843" s="183"/>
      <c r="X843" s="183"/>
      <c r="Y843" s="183"/>
      <c r="Z843" s="183"/>
    </row>
    <row r="844" spans="1:26" ht="15" customHeight="1" x14ac:dyDescent="0.25">
      <c r="A844" s="183"/>
      <c r="B844" s="183"/>
      <c r="C844" s="183"/>
      <c r="D844" s="183"/>
      <c r="E844" s="183"/>
      <c r="F844" s="183"/>
      <c r="G844" s="183"/>
      <c r="H844" s="183"/>
      <c r="I844" s="183"/>
      <c r="J844" s="183"/>
      <c r="K844" s="183"/>
      <c r="L844" s="183"/>
      <c r="M844" s="183"/>
      <c r="N844" s="183"/>
      <c r="O844" s="183"/>
      <c r="P844" s="183"/>
      <c r="Q844" s="183"/>
      <c r="R844" s="183"/>
      <c r="S844" s="183"/>
      <c r="T844" s="183"/>
      <c r="U844" s="183"/>
      <c r="V844" s="183"/>
      <c r="W844" s="183"/>
      <c r="X844" s="183"/>
      <c r="Y844" s="183"/>
      <c r="Z844" s="183"/>
    </row>
    <row r="845" spans="1:26" ht="15" customHeight="1" x14ac:dyDescent="0.25">
      <c r="A845" s="183"/>
      <c r="B845" s="183"/>
      <c r="C845" s="183"/>
      <c r="D845" s="183"/>
      <c r="E845" s="183"/>
      <c r="F845" s="183"/>
      <c r="G845" s="183"/>
      <c r="H845" s="183"/>
      <c r="I845" s="183"/>
      <c r="J845" s="183"/>
      <c r="K845" s="183"/>
      <c r="L845" s="183"/>
      <c r="M845" s="183"/>
      <c r="N845" s="183"/>
      <c r="O845" s="183"/>
      <c r="P845" s="183"/>
      <c r="Q845" s="183"/>
      <c r="R845" s="183"/>
      <c r="S845" s="183"/>
      <c r="T845" s="183"/>
      <c r="U845" s="183"/>
      <c r="V845" s="183"/>
      <c r="W845" s="183"/>
      <c r="X845" s="183"/>
      <c r="Y845" s="183"/>
      <c r="Z845" s="183"/>
    </row>
    <row r="846" spans="1:26" ht="15" customHeight="1" x14ac:dyDescent="0.25">
      <c r="A846" s="183"/>
      <c r="B846" s="183"/>
      <c r="C846" s="183"/>
      <c r="D846" s="183"/>
      <c r="E846" s="183"/>
      <c r="F846" s="183"/>
      <c r="G846" s="183"/>
      <c r="H846" s="183"/>
      <c r="I846" s="183"/>
      <c r="J846" s="183"/>
      <c r="K846" s="183"/>
      <c r="L846" s="183"/>
      <c r="M846" s="183"/>
      <c r="N846" s="183"/>
      <c r="O846" s="183"/>
      <c r="P846" s="183"/>
      <c r="Q846" s="183"/>
      <c r="R846" s="183"/>
      <c r="S846" s="183"/>
      <c r="T846" s="183"/>
      <c r="U846" s="183"/>
      <c r="V846" s="183"/>
      <c r="W846" s="183"/>
      <c r="X846" s="183"/>
      <c r="Y846" s="183"/>
      <c r="Z846" s="183"/>
    </row>
    <row r="847" spans="1:26" ht="15" customHeight="1" x14ac:dyDescent="0.25">
      <c r="A847" s="183"/>
      <c r="B847" s="183"/>
      <c r="C847" s="183"/>
      <c r="D847" s="183"/>
      <c r="E847" s="183"/>
      <c r="F847" s="183"/>
      <c r="G847" s="183"/>
      <c r="H847" s="183"/>
      <c r="I847" s="183"/>
      <c r="J847" s="183"/>
      <c r="K847" s="183"/>
      <c r="L847" s="183"/>
      <c r="M847" s="183"/>
      <c r="N847" s="183"/>
      <c r="O847" s="183"/>
      <c r="P847" s="183"/>
      <c r="Q847" s="183"/>
      <c r="R847" s="183"/>
      <c r="S847" s="183"/>
      <c r="T847" s="183"/>
      <c r="U847" s="183"/>
      <c r="V847" s="183"/>
      <c r="W847" s="183"/>
      <c r="X847" s="183"/>
      <c r="Y847" s="183"/>
      <c r="Z847" s="183"/>
    </row>
    <row r="848" spans="1:26" ht="15" customHeight="1" x14ac:dyDescent="0.25">
      <c r="A848" s="183"/>
      <c r="B848" s="183"/>
      <c r="C848" s="183"/>
      <c r="D848" s="183"/>
      <c r="E848" s="183"/>
      <c r="F848" s="183"/>
      <c r="G848" s="183"/>
      <c r="H848" s="183"/>
      <c r="I848" s="183"/>
      <c r="J848" s="183"/>
      <c r="K848" s="183"/>
      <c r="L848" s="183"/>
      <c r="M848" s="183"/>
      <c r="N848" s="183"/>
      <c r="O848" s="183"/>
      <c r="P848" s="183"/>
      <c r="Q848" s="183"/>
      <c r="R848" s="183"/>
      <c r="S848" s="183"/>
      <c r="T848" s="183"/>
      <c r="U848" s="183"/>
      <c r="V848" s="183"/>
      <c r="W848" s="183"/>
      <c r="X848" s="183"/>
      <c r="Y848" s="183"/>
      <c r="Z848" s="183"/>
    </row>
    <row r="849" spans="1:26" ht="15" customHeight="1" x14ac:dyDescent="0.25">
      <c r="A849" s="183"/>
      <c r="B849" s="183"/>
      <c r="C849" s="183"/>
      <c r="D849" s="183"/>
      <c r="E849" s="183"/>
      <c r="F849" s="183"/>
      <c r="G849" s="183"/>
      <c r="H849" s="183"/>
      <c r="I849" s="183"/>
      <c r="J849" s="183"/>
      <c r="K849" s="183"/>
      <c r="L849" s="183"/>
      <c r="M849" s="183"/>
      <c r="N849" s="183"/>
      <c r="O849" s="183"/>
      <c r="P849" s="183"/>
      <c r="Q849" s="183"/>
      <c r="R849" s="183"/>
      <c r="S849" s="183"/>
      <c r="T849" s="183"/>
      <c r="U849" s="183"/>
      <c r="V849" s="183"/>
      <c r="W849" s="183"/>
      <c r="X849" s="183"/>
      <c r="Y849" s="183"/>
      <c r="Z849" s="183"/>
    </row>
    <row r="850" spans="1:26" ht="15" customHeight="1" x14ac:dyDescent="0.25">
      <c r="A850" s="183"/>
      <c r="B850" s="183"/>
      <c r="C850" s="183"/>
      <c r="D850" s="183"/>
      <c r="E850" s="183"/>
      <c r="F850" s="183"/>
      <c r="G850" s="183"/>
      <c r="H850" s="183"/>
      <c r="I850" s="183"/>
      <c r="J850" s="183"/>
      <c r="K850" s="183"/>
      <c r="L850" s="183"/>
      <c r="M850" s="183"/>
      <c r="N850" s="183"/>
      <c r="O850" s="183"/>
      <c r="P850" s="183"/>
      <c r="Q850" s="183"/>
      <c r="R850" s="183"/>
      <c r="S850" s="183"/>
      <c r="T850" s="183"/>
      <c r="U850" s="183"/>
      <c r="V850" s="183"/>
      <c r="W850" s="183"/>
      <c r="X850" s="183"/>
      <c r="Y850" s="183"/>
      <c r="Z850" s="183"/>
    </row>
    <row r="851" spans="1:26" ht="15" customHeight="1" x14ac:dyDescent="0.25">
      <c r="A851" s="183"/>
      <c r="B851" s="183"/>
      <c r="C851" s="183"/>
      <c r="D851" s="183"/>
      <c r="E851" s="183"/>
      <c r="F851" s="183"/>
      <c r="G851" s="183"/>
      <c r="H851" s="183"/>
      <c r="I851" s="183"/>
      <c r="J851" s="183"/>
      <c r="K851" s="183"/>
      <c r="L851" s="183"/>
      <c r="M851" s="183"/>
      <c r="N851" s="183"/>
      <c r="O851" s="183"/>
      <c r="P851" s="183"/>
      <c r="Q851" s="183"/>
      <c r="R851" s="183"/>
      <c r="S851" s="183"/>
      <c r="T851" s="183"/>
      <c r="U851" s="183"/>
      <c r="V851" s="183"/>
      <c r="W851" s="183"/>
      <c r="X851" s="183"/>
      <c r="Y851" s="183"/>
      <c r="Z851" s="183"/>
    </row>
    <row r="852" spans="1:26" ht="15" customHeight="1" x14ac:dyDescent="0.25">
      <c r="A852" s="183"/>
      <c r="B852" s="183"/>
      <c r="C852" s="183"/>
      <c r="D852" s="183"/>
      <c r="E852" s="183"/>
      <c r="F852" s="183"/>
      <c r="G852" s="183"/>
      <c r="H852" s="183"/>
      <c r="I852" s="183"/>
      <c r="J852" s="183"/>
      <c r="K852" s="183"/>
      <c r="L852" s="183"/>
      <c r="M852" s="183"/>
      <c r="N852" s="183"/>
      <c r="O852" s="183"/>
      <c r="P852" s="183"/>
      <c r="Q852" s="183"/>
      <c r="R852" s="183"/>
      <c r="S852" s="183"/>
      <c r="T852" s="183"/>
      <c r="U852" s="183"/>
      <c r="V852" s="183"/>
      <c r="W852" s="183"/>
      <c r="X852" s="183"/>
      <c r="Y852" s="183"/>
      <c r="Z852" s="183"/>
    </row>
    <row r="853" spans="1:26" ht="15" customHeight="1" x14ac:dyDescent="0.25">
      <c r="A853" s="183"/>
      <c r="B853" s="183"/>
      <c r="C853" s="183"/>
      <c r="D853" s="183"/>
      <c r="E853" s="183"/>
      <c r="F853" s="183"/>
      <c r="G853" s="183"/>
      <c r="H853" s="183"/>
      <c r="I853" s="183"/>
      <c r="J853" s="183"/>
      <c r="K853" s="183"/>
      <c r="L853" s="183"/>
      <c r="M853" s="183"/>
      <c r="N853" s="183"/>
      <c r="O853" s="183"/>
      <c r="P853" s="183"/>
      <c r="Q853" s="183"/>
      <c r="R853" s="183"/>
      <c r="S853" s="183"/>
      <c r="T853" s="183"/>
      <c r="U853" s="183"/>
      <c r="V853" s="183"/>
      <c r="W853" s="183"/>
      <c r="X853" s="183"/>
      <c r="Y853" s="183"/>
      <c r="Z853" s="183"/>
    </row>
    <row r="854" spans="1:26" ht="15" customHeight="1" x14ac:dyDescent="0.25">
      <c r="A854" s="183"/>
      <c r="B854" s="183"/>
      <c r="C854" s="183"/>
      <c r="D854" s="183"/>
      <c r="E854" s="183"/>
      <c r="F854" s="183"/>
      <c r="G854" s="183"/>
      <c r="H854" s="183"/>
      <c r="I854" s="183"/>
      <c r="J854" s="183"/>
      <c r="K854" s="183"/>
      <c r="L854" s="183"/>
      <c r="M854" s="183"/>
      <c r="N854" s="183"/>
      <c r="O854" s="183"/>
      <c r="P854" s="183"/>
      <c r="Q854" s="183"/>
      <c r="R854" s="183"/>
      <c r="S854" s="183"/>
      <c r="T854" s="183"/>
      <c r="U854" s="183"/>
      <c r="V854" s="183"/>
      <c r="W854" s="183"/>
      <c r="X854" s="183"/>
      <c r="Y854" s="183"/>
      <c r="Z854" s="183"/>
    </row>
    <row r="855" spans="1:26" ht="15" customHeight="1" x14ac:dyDescent="0.25">
      <c r="A855" s="183"/>
      <c r="B855" s="183"/>
      <c r="C855" s="183"/>
      <c r="D855" s="183"/>
      <c r="E855" s="183"/>
      <c r="F855" s="183"/>
      <c r="G855" s="183"/>
      <c r="H855" s="183"/>
      <c r="I855" s="183"/>
      <c r="J855" s="183"/>
      <c r="K855" s="183"/>
      <c r="L855" s="183"/>
      <c r="M855" s="183"/>
      <c r="N855" s="183"/>
      <c r="O855" s="183"/>
      <c r="P855" s="183"/>
      <c r="Q855" s="183"/>
      <c r="R855" s="183"/>
      <c r="S855" s="183"/>
      <c r="T855" s="183"/>
      <c r="U855" s="183"/>
      <c r="V855" s="183"/>
      <c r="W855" s="183"/>
      <c r="X855" s="183"/>
      <c r="Y855" s="183"/>
      <c r="Z855" s="183"/>
    </row>
    <row r="856" spans="1:26" ht="15" customHeight="1" x14ac:dyDescent="0.25">
      <c r="A856" s="183"/>
      <c r="B856" s="183"/>
      <c r="C856" s="183"/>
      <c r="D856" s="183"/>
      <c r="E856" s="183"/>
      <c r="F856" s="183"/>
      <c r="G856" s="183"/>
      <c r="H856" s="183"/>
      <c r="I856" s="183"/>
      <c r="J856" s="183"/>
      <c r="K856" s="183"/>
      <c r="L856" s="183"/>
      <c r="M856" s="183"/>
      <c r="N856" s="183"/>
      <c r="O856" s="183"/>
      <c r="P856" s="183"/>
      <c r="Q856" s="183"/>
      <c r="R856" s="183"/>
      <c r="S856" s="183"/>
      <c r="T856" s="183"/>
      <c r="U856" s="183"/>
      <c r="V856" s="183"/>
      <c r="W856" s="183"/>
      <c r="X856" s="183"/>
      <c r="Y856" s="183"/>
      <c r="Z856" s="183"/>
    </row>
    <row r="857" spans="1:26" ht="15" customHeight="1" x14ac:dyDescent="0.25">
      <c r="A857" s="183"/>
      <c r="B857" s="183"/>
      <c r="C857" s="183"/>
      <c r="D857" s="183"/>
      <c r="E857" s="183"/>
      <c r="F857" s="183"/>
      <c r="G857" s="183"/>
      <c r="H857" s="183"/>
      <c r="I857" s="183"/>
      <c r="J857" s="183"/>
      <c r="K857" s="183"/>
      <c r="L857" s="183"/>
      <c r="M857" s="183"/>
      <c r="N857" s="183"/>
      <c r="O857" s="183"/>
      <c r="P857" s="183"/>
      <c r="Q857" s="183"/>
      <c r="R857" s="183"/>
      <c r="S857" s="183"/>
      <c r="T857" s="183"/>
      <c r="U857" s="183"/>
      <c r="V857" s="183"/>
      <c r="W857" s="183"/>
      <c r="X857" s="183"/>
      <c r="Y857" s="183"/>
      <c r="Z857" s="183"/>
    </row>
    <row r="858" spans="1:26" ht="15" customHeight="1" x14ac:dyDescent="0.25">
      <c r="A858" s="183"/>
      <c r="B858" s="183"/>
      <c r="C858" s="183"/>
      <c r="D858" s="183"/>
      <c r="E858" s="183"/>
      <c r="F858" s="183"/>
      <c r="G858" s="183"/>
      <c r="H858" s="183"/>
      <c r="I858" s="183"/>
      <c r="J858" s="183"/>
      <c r="K858" s="183"/>
      <c r="L858" s="183"/>
      <c r="M858" s="183"/>
      <c r="N858" s="183"/>
      <c r="O858" s="183"/>
      <c r="P858" s="183"/>
      <c r="Q858" s="183"/>
      <c r="R858" s="183"/>
      <c r="S858" s="183"/>
      <c r="T858" s="183"/>
      <c r="U858" s="183"/>
      <c r="V858" s="183"/>
      <c r="W858" s="183"/>
      <c r="X858" s="183"/>
      <c r="Y858" s="183"/>
      <c r="Z858" s="183"/>
    </row>
    <row r="859" spans="1:26" ht="15" customHeight="1" x14ac:dyDescent="0.25">
      <c r="A859" s="183"/>
      <c r="B859" s="183"/>
      <c r="C859" s="183"/>
      <c r="D859" s="183"/>
      <c r="E859" s="183"/>
      <c r="F859" s="183"/>
      <c r="G859" s="183"/>
      <c r="H859" s="183"/>
      <c r="I859" s="183"/>
      <c r="J859" s="183"/>
      <c r="K859" s="183"/>
      <c r="L859" s="183"/>
      <c r="M859" s="183"/>
      <c r="N859" s="183"/>
      <c r="O859" s="183"/>
      <c r="P859" s="183"/>
      <c r="Q859" s="183"/>
      <c r="R859" s="183"/>
      <c r="S859" s="183"/>
      <c r="T859" s="183"/>
      <c r="U859" s="183"/>
      <c r="V859" s="183"/>
      <c r="W859" s="183"/>
      <c r="X859" s="183"/>
      <c r="Y859" s="183"/>
      <c r="Z859" s="183"/>
    </row>
    <row r="860" spans="1:26" ht="15" customHeight="1" x14ac:dyDescent="0.25">
      <c r="A860" s="183"/>
      <c r="B860" s="183"/>
      <c r="C860" s="183"/>
      <c r="D860" s="183"/>
      <c r="E860" s="183"/>
      <c r="F860" s="183"/>
      <c r="G860" s="183"/>
      <c r="H860" s="183"/>
      <c r="I860" s="183"/>
      <c r="J860" s="183"/>
      <c r="K860" s="183"/>
      <c r="L860" s="183"/>
      <c r="M860" s="183"/>
      <c r="N860" s="183"/>
      <c r="O860" s="183"/>
      <c r="P860" s="183"/>
      <c r="Q860" s="183"/>
      <c r="R860" s="183"/>
      <c r="S860" s="183"/>
      <c r="T860" s="183"/>
      <c r="U860" s="183"/>
      <c r="V860" s="183"/>
      <c r="W860" s="183"/>
      <c r="X860" s="183"/>
      <c r="Y860" s="183"/>
      <c r="Z860" s="183"/>
    </row>
    <row r="861" spans="1:26" ht="15" customHeight="1" x14ac:dyDescent="0.25">
      <c r="A861" s="183"/>
      <c r="B861" s="183"/>
      <c r="C861" s="183"/>
      <c r="D861" s="183"/>
      <c r="E861" s="183"/>
      <c r="F861" s="183"/>
      <c r="G861" s="183"/>
      <c r="H861" s="183"/>
      <c r="I861" s="183"/>
      <c r="J861" s="183"/>
      <c r="K861" s="183"/>
      <c r="L861" s="183"/>
      <c r="M861" s="183"/>
      <c r="N861" s="183"/>
      <c r="O861" s="183"/>
      <c r="P861" s="183"/>
      <c r="Q861" s="183"/>
      <c r="R861" s="183"/>
      <c r="S861" s="183"/>
      <c r="T861" s="183"/>
      <c r="U861" s="183"/>
      <c r="V861" s="183"/>
      <c r="W861" s="183"/>
      <c r="X861" s="183"/>
      <c r="Y861" s="183"/>
      <c r="Z861" s="183"/>
    </row>
    <row r="862" spans="1:26" ht="15" customHeight="1" x14ac:dyDescent="0.25">
      <c r="A862" s="183"/>
      <c r="B862" s="183"/>
      <c r="C862" s="183"/>
      <c r="D862" s="183"/>
      <c r="E862" s="183"/>
      <c r="F862" s="183"/>
      <c r="G862" s="183"/>
      <c r="H862" s="183"/>
      <c r="I862" s="183"/>
      <c r="J862" s="183"/>
      <c r="K862" s="183"/>
      <c r="L862" s="183"/>
      <c r="M862" s="183"/>
      <c r="N862" s="183"/>
      <c r="O862" s="183"/>
      <c r="P862" s="183"/>
      <c r="Q862" s="183"/>
      <c r="R862" s="183"/>
      <c r="S862" s="183"/>
      <c r="T862" s="183"/>
      <c r="U862" s="183"/>
      <c r="V862" s="183"/>
      <c r="W862" s="183"/>
      <c r="X862" s="183"/>
      <c r="Y862" s="183"/>
      <c r="Z862" s="183"/>
    </row>
    <row r="863" spans="1:26" ht="15" customHeight="1" x14ac:dyDescent="0.25">
      <c r="A863" s="183"/>
      <c r="B863" s="183"/>
      <c r="C863" s="183"/>
      <c r="D863" s="183"/>
      <c r="E863" s="183"/>
      <c r="F863" s="183"/>
      <c r="G863" s="183"/>
      <c r="H863" s="183"/>
      <c r="I863" s="183"/>
      <c r="J863" s="183"/>
      <c r="K863" s="183"/>
      <c r="L863" s="183"/>
      <c r="M863" s="183"/>
      <c r="N863" s="183"/>
      <c r="O863" s="183"/>
      <c r="P863" s="183"/>
      <c r="Q863" s="183"/>
      <c r="R863" s="183"/>
      <c r="S863" s="183"/>
      <c r="T863" s="183"/>
      <c r="U863" s="183"/>
      <c r="V863" s="183"/>
      <c r="W863" s="183"/>
      <c r="X863" s="183"/>
      <c r="Y863" s="183"/>
      <c r="Z863" s="183"/>
    </row>
    <row r="864" spans="1:26" ht="15" customHeight="1" x14ac:dyDescent="0.25">
      <c r="A864" s="183"/>
      <c r="B864" s="183"/>
      <c r="C864" s="183"/>
      <c r="D864" s="183"/>
      <c r="E864" s="183"/>
      <c r="F864" s="183"/>
      <c r="G864" s="183"/>
      <c r="H864" s="183"/>
      <c r="I864" s="183"/>
      <c r="J864" s="183"/>
      <c r="K864" s="183"/>
      <c r="L864" s="183"/>
      <c r="M864" s="183"/>
      <c r="N864" s="183"/>
      <c r="O864" s="183"/>
      <c r="P864" s="183"/>
      <c r="Q864" s="183"/>
      <c r="R864" s="183"/>
      <c r="S864" s="183"/>
      <c r="T864" s="183"/>
      <c r="U864" s="183"/>
      <c r="V864" s="183"/>
      <c r="W864" s="183"/>
      <c r="X864" s="183"/>
      <c r="Y864" s="183"/>
      <c r="Z864" s="183"/>
    </row>
    <row r="865" spans="1:26" ht="15" customHeight="1" x14ac:dyDescent="0.25">
      <c r="A865" s="183"/>
      <c r="B865" s="183"/>
      <c r="C865" s="183"/>
      <c r="D865" s="183"/>
      <c r="E865" s="183"/>
      <c r="F865" s="183"/>
      <c r="G865" s="183"/>
      <c r="H865" s="183"/>
      <c r="I865" s="183"/>
      <c r="J865" s="183"/>
      <c r="K865" s="183"/>
      <c r="L865" s="183"/>
      <c r="M865" s="183"/>
      <c r="N865" s="183"/>
      <c r="O865" s="183"/>
      <c r="P865" s="183"/>
      <c r="Q865" s="183"/>
      <c r="R865" s="183"/>
      <c r="S865" s="183"/>
      <c r="T865" s="183"/>
      <c r="U865" s="183"/>
      <c r="V865" s="183"/>
      <c r="W865" s="183"/>
      <c r="X865" s="183"/>
      <c r="Y865" s="183"/>
      <c r="Z865" s="183"/>
    </row>
    <row r="866" spans="1:26" ht="15" customHeight="1" x14ac:dyDescent="0.25">
      <c r="A866" s="183"/>
      <c r="B866" s="183"/>
      <c r="C866" s="183"/>
      <c r="D866" s="183"/>
      <c r="E866" s="183"/>
      <c r="F866" s="183"/>
      <c r="G866" s="183"/>
      <c r="H866" s="183"/>
      <c r="I866" s="183"/>
      <c r="J866" s="183"/>
      <c r="K866" s="183"/>
      <c r="L866" s="183"/>
      <c r="M866" s="183"/>
      <c r="N866" s="183"/>
      <c r="O866" s="183"/>
      <c r="P866" s="183"/>
      <c r="Q866" s="183"/>
      <c r="R866" s="183"/>
      <c r="S866" s="183"/>
      <c r="T866" s="183"/>
      <c r="U866" s="183"/>
      <c r="V866" s="183"/>
      <c r="W866" s="183"/>
      <c r="X866" s="183"/>
      <c r="Y866" s="183"/>
      <c r="Z866" s="183"/>
    </row>
    <row r="867" spans="1:26" ht="15" customHeight="1" x14ac:dyDescent="0.25">
      <c r="A867" s="183"/>
      <c r="B867" s="183"/>
      <c r="C867" s="183"/>
      <c r="D867" s="183"/>
      <c r="E867" s="183"/>
      <c r="F867" s="183"/>
      <c r="G867" s="183"/>
      <c r="H867" s="183"/>
      <c r="I867" s="183"/>
      <c r="J867" s="183"/>
      <c r="K867" s="183"/>
      <c r="L867" s="183"/>
      <c r="M867" s="183"/>
      <c r="N867" s="183"/>
      <c r="O867" s="183"/>
      <c r="P867" s="183"/>
      <c r="Q867" s="183"/>
      <c r="R867" s="183"/>
      <c r="S867" s="183"/>
      <c r="T867" s="183"/>
      <c r="U867" s="183"/>
      <c r="V867" s="183"/>
      <c r="W867" s="183"/>
      <c r="X867" s="183"/>
      <c r="Y867" s="183"/>
      <c r="Z867" s="183"/>
    </row>
    <row r="868" spans="1:26" ht="15" customHeight="1" x14ac:dyDescent="0.25">
      <c r="A868" s="183"/>
      <c r="B868" s="183"/>
      <c r="C868" s="183"/>
      <c r="D868" s="183"/>
      <c r="E868" s="183"/>
      <c r="F868" s="183"/>
      <c r="G868" s="183"/>
      <c r="H868" s="183"/>
      <c r="I868" s="183"/>
      <c r="J868" s="183"/>
      <c r="K868" s="183"/>
      <c r="L868" s="183"/>
      <c r="M868" s="183"/>
      <c r="N868" s="183"/>
      <c r="O868" s="183"/>
      <c r="P868" s="183"/>
      <c r="Q868" s="183"/>
      <c r="R868" s="183"/>
      <c r="S868" s="183"/>
      <c r="T868" s="183"/>
      <c r="U868" s="183"/>
      <c r="V868" s="183"/>
      <c r="W868" s="183"/>
      <c r="X868" s="183"/>
      <c r="Y868" s="183"/>
      <c r="Z868" s="183"/>
    </row>
    <row r="869" spans="1:26" ht="15" customHeight="1" x14ac:dyDescent="0.25">
      <c r="A869" s="183"/>
      <c r="B869" s="183"/>
      <c r="C869" s="183"/>
      <c r="D869" s="183"/>
      <c r="E869" s="183"/>
      <c r="F869" s="183"/>
      <c r="G869" s="183"/>
      <c r="H869" s="183"/>
      <c r="I869" s="183"/>
      <c r="J869" s="183"/>
      <c r="K869" s="183"/>
      <c r="L869" s="183"/>
      <c r="M869" s="183"/>
      <c r="N869" s="183"/>
      <c r="O869" s="183"/>
      <c r="P869" s="183"/>
      <c r="Q869" s="183"/>
      <c r="R869" s="183"/>
      <c r="S869" s="183"/>
      <c r="T869" s="183"/>
      <c r="U869" s="183"/>
      <c r="V869" s="183"/>
      <c r="W869" s="183"/>
      <c r="X869" s="183"/>
      <c r="Y869" s="183"/>
      <c r="Z869" s="183"/>
    </row>
    <row r="870" spans="1:26" ht="15" customHeight="1" x14ac:dyDescent="0.25">
      <c r="A870" s="183"/>
      <c r="B870" s="183"/>
      <c r="C870" s="183"/>
      <c r="D870" s="183"/>
      <c r="E870" s="183"/>
      <c r="F870" s="183"/>
      <c r="G870" s="183"/>
      <c r="H870" s="183"/>
      <c r="I870" s="183"/>
      <c r="J870" s="183"/>
      <c r="K870" s="183"/>
      <c r="L870" s="183"/>
      <c r="M870" s="183"/>
      <c r="N870" s="183"/>
      <c r="O870" s="183"/>
      <c r="P870" s="183"/>
      <c r="Q870" s="183"/>
      <c r="R870" s="183"/>
      <c r="S870" s="183"/>
      <c r="T870" s="183"/>
      <c r="U870" s="183"/>
      <c r="V870" s="183"/>
      <c r="W870" s="183"/>
      <c r="X870" s="183"/>
      <c r="Y870" s="183"/>
      <c r="Z870" s="183"/>
    </row>
    <row r="871" spans="1:26" ht="15" customHeight="1" x14ac:dyDescent="0.25">
      <c r="A871" s="183"/>
      <c r="B871" s="183"/>
      <c r="C871" s="183"/>
      <c r="D871" s="183"/>
      <c r="E871" s="183"/>
      <c r="F871" s="183"/>
      <c r="G871" s="183"/>
      <c r="H871" s="183"/>
      <c r="I871" s="183"/>
      <c r="J871" s="183"/>
      <c r="K871" s="183"/>
      <c r="L871" s="183"/>
      <c r="M871" s="183"/>
      <c r="N871" s="183"/>
      <c r="O871" s="183"/>
      <c r="P871" s="183"/>
      <c r="Q871" s="183"/>
      <c r="R871" s="183"/>
      <c r="S871" s="183"/>
      <c r="T871" s="183"/>
      <c r="U871" s="183"/>
      <c r="V871" s="183"/>
      <c r="W871" s="183"/>
      <c r="X871" s="183"/>
      <c r="Y871" s="183"/>
      <c r="Z871" s="183"/>
    </row>
    <row r="872" spans="1:26" ht="15" customHeight="1" x14ac:dyDescent="0.25">
      <c r="A872" s="183"/>
      <c r="B872" s="183"/>
      <c r="C872" s="183"/>
      <c r="D872" s="183"/>
      <c r="E872" s="183"/>
      <c r="F872" s="183"/>
      <c r="G872" s="183"/>
      <c r="H872" s="183"/>
      <c r="I872" s="183"/>
      <c r="J872" s="183"/>
      <c r="K872" s="183"/>
      <c r="L872" s="183"/>
      <c r="M872" s="183"/>
      <c r="N872" s="183"/>
      <c r="O872" s="183"/>
      <c r="P872" s="183"/>
      <c r="Q872" s="183"/>
      <c r="R872" s="183"/>
      <c r="S872" s="183"/>
      <c r="T872" s="183"/>
      <c r="U872" s="183"/>
      <c r="V872" s="183"/>
      <c r="W872" s="183"/>
      <c r="X872" s="183"/>
      <c r="Y872" s="183"/>
      <c r="Z872" s="183"/>
    </row>
    <row r="873" spans="1:26" ht="15" customHeight="1" x14ac:dyDescent="0.25">
      <c r="A873" s="183"/>
      <c r="B873" s="183"/>
      <c r="C873" s="183"/>
      <c r="D873" s="183"/>
      <c r="E873" s="183"/>
      <c r="F873" s="183"/>
      <c r="G873" s="183"/>
      <c r="H873" s="183"/>
      <c r="I873" s="183"/>
      <c r="J873" s="183"/>
      <c r="K873" s="183"/>
      <c r="L873" s="183"/>
      <c r="M873" s="183"/>
      <c r="N873" s="183"/>
      <c r="O873" s="183"/>
      <c r="P873" s="183"/>
      <c r="Q873" s="183"/>
      <c r="R873" s="183"/>
      <c r="S873" s="183"/>
      <c r="T873" s="183"/>
      <c r="U873" s="183"/>
      <c r="V873" s="183"/>
      <c r="W873" s="183"/>
      <c r="X873" s="183"/>
      <c r="Y873" s="183"/>
      <c r="Z873" s="183"/>
    </row>
    <row r="874" spans="1:26" ht="15" customHeight="1" x14ac:dyDescent="0.25">
      <c r="A874" s="183"/>
      <c r="B874" s="183"/>
      <c r="C874" s="183"/>
      <c r="D874" s="183"/>
      <c r="E874" s="183"/>
      <c r="F874" s="183"/>
      <c r="G874" s="183"/>
      <c r="H874" s="183"/>
      <c r="I874" s="183"/>
      <c r="J874" s="183"/>
      <c r="K874" s="183"/>
      <c r="L874" s="183"/>
      <c r="M874" s="183"/>
      <c r="N874" s="183"/>
      <c r="O874" s="183"/>
      <c r="P874" s="183"/>
      <c r="Q874" s="183"/>
      <c r="R874" s="183"/>
      <c r="S874" s="183"/>
      <c r="T874" s="183"/>
      <c r="U874" s="183"/>
      <c r="V874" s="183"/>
      <c r="W874" s="183"/>
      <c r="X874" s="183"/>
      <c r="Y874" s="183"/>
      <c r="Z874" s="183"/>
    </row>
    <row r="875" spans="1:26" ht="15" customHeight="1" x14ac:dyDescent="0.25">
      <c r="A875" s="183"/>
      <c r="B875" s="183"/>
      <c r="C875" s="183"/>
      <c r="D875" s="183"/>
      <c r="E875" s="183"/>
      <c r="F875" s="183"/>
      <c r="G875" s="183"/>
      <c r="H875" s="183"/>
      <c r="I875" s="183"/>
      <c r="J875" s="183"/>
      <c r="K875" s="183"/>
      <c r="L875" s="183"/>
      <c r="M875" s="183"/>
      <c r="N875" s="183"/>
      <c r="O875" s="183"/>
      <c r="P875" s="183"/>
      <c r="Q875" s="183"/>
      <c r="R875" s="183"/>
      <c r="S875" s="183"/>
      <c r="T875" s="183"/>
      <c r="U875" s="183"/>
      <c r="V875" s="183"/>
      <c r="W875" s="183"/>
      <c r="X875" s="183"/>
      <c r="Y875" s="183"/>
      <c r="Z875" s="183"/>
    </row>
    <row r="876" spans="1:26" ht="15" customHeight="1" x14ac:dyDescent="0.25">
      <c r="A876" s="183"/>
      <c r="B876" s="183"/>
      <c r="C876" s="183"/>
      <c r="D876" s="183"/>
      <c r="E876" s="183"/>
      <c r="F876" s="183"/>
      <c r="G876" s="183"/>
      <c r="H876" s="183"/>
      <c r="I876" s="183"/>
      <c r="J876" s="183"/>
      <c r="K876" s="183"/>
      <c r="L876" s="183"/>
      <c r="M876" s="183"/>
      <c r="N876" s="183"/>
      <c r="O876" s="183"/>
      <c r="P876" s="183"/>
      <c r="Q876" s="183"/>
      <c r="R876" s="183"/>
      <c r="S876" s="183"/>
      <c r="T876" s="183"/>
      <c r="U876" s="183"/>
      <c r="V876" s="183"/>
      <c r="W876" s="183"/>
      <c r="X876" s="183"/>
      <c r="Y876" s="183"/>
      <c r="Z876" s="183"/>
    </row>
    <row r="877" spans="1:26" ht="15" customHeight="1" x14ac:dyDescent="0.25">
      <c r="A877" s="183"/>
      <c r="B877" s="183"/>
      <c r="C877" s="183"/>
      <c r="D877" s="183"/>
      <c r="E877" s="183"/>
      <c r="F877" s="183"/>
      <c r="G877" s="183"/>
      <c r="H877" s="183"/>
      <c r="I877" s="183"/>
      <c r="J877" s="183"/>
      <c r="K877" s="183"/>
      <c r="L877" s="183"/>
      <c r="M877" s="183"/>
      <c r="N877" s="183"/>
      <c r="O877" s="183"/>
      <c r="P877" s="183"/>
      <c r="Q877" s="183"/>
      <c r="R877" s="183"/>
      <c r="S877" s="183"/>
      <c r="T877" s="183"/>
      <c r="U877" s="183"/>
      <c r="V877" s="183"/>
      <c r="W877" s="183"/>
      <c r="X877" s="183"/>
      <c r="Y877" s="183"/>
      <c r="Z877" s="183"/>
    </row>
    <row r="878" spans="1:26" ht="15" customHeight="1" x14ac:dyDescent="0.25">
      <c r="A878" s="183"/>
      <c r="B878" s="183"/>
      <c r="C878" s="183"/>
      <c r="D878" s="183"/>
      <c r="E878" s="183"/>
      <c r="F878" s="183"/>
      <c r="G878" s="183"/>
      <c r="H878" s="183"/>
      <c r="I878" s="183"/>
      <c r="J878" s="183"/>
      <c r="K878" s="183"/>
      <c r="L878" s="183"/>
      <c r="M878" s="183"/>
      <c r="N878" s="183"/>
      <c r="O878" s="183"/>
      <c r="P878" s="183"/>
      <c r="Q878" s="183"/>
      <c r="R878" s="183"/>
      <c r="S878" s="183"/>
      <c r="T878" s="183"/>
      <c r="U878" s="183"/>
      <c r="V878" s="183"/>
      <c r="W878" s="183"/>
      <c r="X878" s="183"/>
      <c r="Y878" s="183"/>
      <c r="Z878" s="183"/>
    </row>
    <row r="879" spans="1:26" ht="15" customHeight="1" x14ac:dyDescent="0.25">
      <c r="A879" s="183"/>
      <c r="B879" s="183"/>
      <c r="C879" s="183"/>
      <c r="D879" s="183"/>
      <c r="E879" s="183"/>
      <c r="F879" s="183"/>
      <c r="G879" s="183"/>
      <c r="H879" s="183"/>
      <c r="I879" s="183"/>
      <c r="J879" s="183"/>
      <c r="K879" s="183"/>
      <c r="L879" s="183"/>
      <c r="M879" s="183"/>
      <c r="N879" s="183"/>
      <c r="O879" s="183"/>
      <c r="P879" s="183"/>
      <c r="Q879" s="183"/>
      <c r="R879" s="183"/>
      <c r="S879" s="183"/>
      <c r="T879" s="183"/>
      <c r="U879" s="183"/>
      <c r="V879" s="183"/>
      <c r="W879" s="183"/>
      <c r="X879" s="183"/>
      <c r="Y879" s="183"/>
      <c r="Z879" s="183"/>
    </row>
    <row r="880" spans="1:26" ht="15" customHeight="1" x14ac:dyDescent="0.25">
      <c r="A880" s="183"/>
      <c r="B880" s="183"/>
      <c r="C880" s="183"/>
      <c r="D880" s="183"/>
      <c r="E880" s="183"/>
      <c r="F880" s="183"/>
      <c r="G880" s="183"/>
      <c r="H880" s="183"/>
      <c r="I880" s="183"/>
      <c r="J880" s="183"/>
      <c r="K880" s="183"/>
      <c r="L880" s="183"/>
      <c r="M880" s="183"/>
      <c r="N880" s="183"/>
      <c r="O880" s="183"/>
      <c r="P880" s="183"/>
      <c r="Q880" s="183"/>
      <c r="R880" s="183"/>
      <c r="S880" s="183"/>
      <c r="T880" s="183"/>
      <c r="U880" s="183"/>
      <c r="V880" s="183"/>
      <c r="W880" s="183"/>
      <c r="X880" s="183"/>
      <c r="Y880" s="183"/>
      <c r="Z880" s="183"/>
    </row>
    <row r="881" spans="1:26" ht="15" customHeight="1" x14ac:dyDescent="0.25">
      <c r="A881" s="183"/>
      <c r="B881" s="183"/>
      <c r="C881" s="183"/>
      <c r="D881" s="183"/>
      <c r="E881" s="183"/>
      <c r="F881" s="183"/>
      <c r="G881" s="183"/>
      <c r="H881" s="183"/>
      <c r="I881" s="183"/>
      <c r="J881" s="183"/>
      <c r="K881" s="183"/>
      <c r="L881" s="183"/>
      <c r="M881" s="183"/>
      <c r="N881" s="183"/>
      <c r="O881" s="183"/>
      <c r="P881" s="183"/>
      <c r="Q881" s="183"/>
      <c r="R881" s="183"/>
      <c r="S881" s="183"/>
      <c r="T881" s="183"/>
      <c r="U881" s="183"/>
      <c r="V881" s="183"/>
      <c r="W881" s="183"/>
      <c r="X881" s="183"/>
      <c r="Y881" s="183"/>
      <c r="Z881" s="183"/>
    </row>
    <row r="882" spans="1:26" ht="15" customHeight="1" x14ac:dyDescent="0.25">
      <c r="A882" s="183"/>
      <c r="B882" s="183"/>
      <c r="C882" s="183"/>
      <c r="D882" s="183"/>
      <c r="E882" s="183"/>
      <c r="F882" s="183"/>
      <c r="G882" s="183"/>
      <c r="H882" s="183"/>
      <c r="I882" s="183"/>
      <c r="J882" s="183"/>
      <c r="K882" s="183"/>
      <c r="L882" s="183"/>
      <c r="M882" s="183"/>
      <c r="N882" s="183"/>
      <c r="O882" s="183"/>
      <c r="P882" s="183"/>
      <c r="Q882" s="183"/>
      <c r="R882" s="183"/>
      <c r="S882" s="183"/>
      <c r="T882" s="183"/>
      <c r="U882" s="183"/>
      <c r="V882" s="183"/>
      <c r="W882" s="183"/>
      <c r="X882" s="183"/>
      <c r="Y882" s="183"/>
      <c r="Z882" s="183"/>
    </row>
    <row r="883" spans="1:26" ht="15" customHeight="1" x14ac:dyDescent="0.25">
      <c r="A883" s="183"/>
      <c r="B883" s="183"/>
      <c r="C883" s="183"/>
      <c r="D883" s="183"/>
      <c r="E883" s="183"/>
      <c r="F883" s="183"/>
      <c r="G883" s="183"/>
      <c r="H883" s="183"/>
      <c r="I883" s="183"/>
      <c r="J883" s="183"/>
      <c r="K883" s="183"/>
      <c r="L883" s="183"/>
      <c r="M883" s="183"/>
      <c r="N883" s="183"/>
      <c r="O883" s="183"/>
      <c r="P883" s="183"/>
      <c r="Q883" s="183"/>
      <c r="R883" s="183"/>
      <c r="S883" s="183"/>
      <c r="T883" s="183"/>
      <c r="U883" s="183"/>
      <c r="V883" s="183"/>
      <c r="W883" s="183"/>
      <c r="X883" s="183"/>
      <c r="Y883" s="183"/>
      <c r="Z883" s="183"/>
    </row>
    <row r="884" spans="1:26" ht="15" customHeight="1" x14ac:dyDescent="0.25">
      <c r="A884" s="183"/>
      <c r="B884" s="183"/>
      <c r="C884" s="183"/>
      <c r="D884" s="183"/>
      <c r="E884" s="183"/>
      <c r="F884" s="183"/>
      <c r="G884" s="183"/>
      <c r="H884" s="183"/>
      <c r="I884" s="183"/>
      <c r="J884" s="183"/>
      <c r="K884" s="183"/>
      <c r="L884" s="183"/>
      <c r="M884" s="183"/>
      <c r="N884" s="183"/>
      <c r="O884" s="183"/>
      <c r="P884" s="183"/>
      <c r="Q884" s="183"/>
      <c r="R884" s="183"/>
      <c r="S884" s="183"/>
      <c r="T884" s="183"/>
      <c r="U884" s="183"/>
      <c r="V884" s="183"/>
      <c r="W884" s="183"/>
      <c r="X884" s="183"/>
      <c r="Y884" s="183"/>
      <c r="Z884" s="183"/>
    </row>
    <row r="885" spans="1:26" ht="15" customHeight="1" x14ac:dyDescent="0.25">
      <c r="A885" s="183"/>
      <c r="B885" s="183"/>
      <c r="C885" s="183"/>
      <c r="D885" s="183"/>
      <c r="E885" s="183"/>
      <c r="F885" s="183"/>
      <c r="G885" s="183"/>
      <c r="H885" s="183"/>
      <c r="I885" s="183"/>
      <c r="J885" s="183"/>
      <c r="K885" s="183"/>
      <c r="L885" s="183"/>
      <c r="M885" s="183"/>
      <c r="N885" s="183"/>
      <c r="O885" s="183"/>
      <c r="P885" s="183"/>
      <c r="Q885" s="183"/>
      <c r="R885" s="183"/>
      <c r="S885" s="183"/>
      <c r="T885" s="183"/>
      <c r="U885" s="183"/>
      <c r="V885" s="183"/>
      <c r="W885" s="183"/>
      <c r="X885" s="183"/>
      <c r="Y885" s="183"/>
      <c r="Z885" s="183"/>
    </row>
    <row r="886" spans="1:26" ht="15" customHeight="1" x14ac:dyDescent="0.25">
      <c r="A886" s="183"/>
      <c r="B886" s="183"/>
      <c r="C886" s="183"/>
      <c r="D886" s="183"/>
      <c r="E886" s="183"/>
      <c r="F886" s="183"/>
      <c r="G886" s="183"/>
      <c r="H886" s="183"/>
      <c r="I886" s="183"/>
      <c r="J886" s="183"/>
      <c r="K886" s="183"/>
      <c r="L886" s="183"/>
      <c r="M886" s="183"/>
      <c r="N886" s="183"/>
      <c r="O886" s="183"/>
      <c r="P886" s="183"/>
      <c r="Q886" s="183"/>
      <c r="R886" s="183"/>
      <c r="S886" s="183"/>
      <c r="T886" s="183"/>
      <c r="U886" s="183"/>
      <c r="V886" s="183"/>
      <c r="W886" s="183"/>
      <c r="X886" s="183"/>
      <c r="Y886" s="183"/>
      <c r="Z886" s="183"/>
    </row>
    <row r="887" spans="1:26" ht="15" customHeight="1" x14ac:dyDescent="0.25">
      <c r="A887" s="183"/>
      <c r="B887" s="183"/>
      <c r="C887" s="183"/>
      <c r="D887" s="183"/>
      <c r="E887" s="183"/>
      <c r="F887" s="183"/>
      <c r="G887" s="183"/>
      <c r="H887" s="183"/>
      <c r="I887" s="183"/>
      <c r="J887" s="183"/>
      <c r="K887" s="183"/>
      <c r="L887" s="183"/>
      <c r="M887" s="183"/>
      <c r="N887" s="183"/>
      <c r="O887" s="183"/>
      <c r="P887" s="183"/>
      <c r="Q887" s="183"/>
      <c r="R887" s="183"/>
      <c r="S887" s="183"/>
      <c r="T887" s="183"/>
      <c r="U887" s="183"/>
      <c r="V887" s="183"/>
      <c r="W887" s="183"/>
      <c r="X887" s="183"/>
      <c r="Y887" s="183"/>
      <c r="Z887" s="183"/>
    </row>
    <row r="888" spans="1:26" ht="15" customHeight="1" x14ac:dyDescent="0.25">
      <c r="A888" s="183"/>
      <c r="B888" s="183"/>
      <c r="C888" s="183"/>
      <c r="D888" s="183"/>
      <c r="E888" s="183"/>
      <c r="F888" s="183"/>
      <c r="G888" s="183"/>
      <c r="H888" s="183"/>
      <c r="I888" s="183"/>
      <c r="J888" s="183"/>
      <c r="K888" s="183"/>
      <c r="L888" s="183"/>
      <c r="M888" s="183"/>
      <c r="N888" s="183"/>
      <c r="O888" s="183"/>
      <c r="P888" s="183"/>
      <c r="Q888" s="183"/>
      <c r="R888" s="183"/>
      <c r="S888" s="183"/>
      <c r="T888" s="183"/>
      <c r="U888" s="183"/>
      <c r="V888" s="183"/>
      <c r="W888" s="183"/>
      <c r="X888" s="183"/>
      <c r="Y888" s="183"/>
      <c r="Z888" s="183"/>
    </row>
    <row r="889" spans="1:26" ht="15" customHeight="1" x14ac:dyDescent="0.25">
      <c r="A889" s="183"/>
      <c r="B889" s="183"/>
      <c r="C889" s="183"/>
      <c r="D889" s="183"/>
      <c r="E889" s="183"/>
      <c r="F889" s="183"/>
      <c r="G889" s="183"/>
      <c r="H889" s="183"/>
      <c r="I889" s="183"/>
      <c r="J889" s="183"/>
      <c r="K889" s="183"/>
      <c r="L889" s="183"/>
      <c r="M889" s="183"/>
      <c r="N889" s="183"/>
      <c r="O889" s="183"/>
      <c r="P889" s="183"/>
      <c r="Q889" s="183"/>
      <c r="R889" s="183"/>
      <c r="S889" s="183"/>
      <c r="T889" s="183"/>
      <c r="U889" s="183"/>
      <c r="V889" s="183"/>
      <c r="W889" s="183"/>
      <c r="X889" s="183"/>
      <c r="Y889" s="183"/>
      <c r="Z889" s="183"/>
    </row>
    <row r="890" spans="1:26" ht="15" customHeight="1" x14ac:dyDescent="0.25">
      <c r="A890" s="183"/>
      <c r="B890" s="183"/>
      <c r="C890" s="183"/>
      <c r="D890" s="183"/>
      <c r="E890" s="183"/>
      <c r="F890" s="183"/>
      <c r="G890" s="183"/>
      <c r="H890" s="183"/>
      <c r="I890" s="183"/>
      <c r="J890" s="183"/>
      <c r="K890" s="183"/>
      <c r="L890" s="183"/>
      <c r="M890" s="183"/>
      <c r="N890" s="183"/>
      <c r="O890" s="183"/>
      <c r="P890" s="183"/>
      <c r="Q890" s="183"/>
      <c r="R890" s="183"/>
      <c r="S890" s="183"/>
      <c r="T890" s="183"/>
      <c r="U890" s="183"/>
      <c r="V890" s="183"/>
      <c r="W890" s="183"/>
      <c r="X890" s="183"/>
      <c r="Y890" s="183"/>
      <c r="Z890" s="183"/>
    </row>
    <row r="891" spans="1:26" ht="15" customHeight="1" x14ac:dyDescent="0.25">
      <c r="A891" s="183"/>
      <c r="B891" s="183"/>
      <c r="C891" s="183"/>
      <c r="D891" s="183"/>
      <c r="E891" s="183"/>
      <c r="F891" s="183"/>
      <c r="G891" s="183"/>
      <c r="H891" s="183"/>
      <c r="I891" s="183"/>
      <c r="J891" s="183"/>
      <c r="K891" s="183"/>
      <c r="L891" s="183"/>
      <c r="M891" s="183"/>
      <c r="N891" s="183"/>
      <c r="O891" s="183"/>
      <c r="P891" s="183"/>
      <c r="Q891" s="183"/>
      <c r="R891" s="183"/>
      <c r="S891" s="183"/>
      <c r="T891" s="183"/>
      <c r="U891" s="183"/>
      <c r="V891" s="183"/>
      <c r="W891" s="183"/>
      <c r="X891" s="183"/>
      <c r="Y891" s="183"/>
      <c r="Z891" s="183"/>
    </row>
    <row r="892" spans="1:26" ht="15" customHeight="1" x14ac:dyDescent="0.25">
      <c r="A892" s="183"/>
      <c r="B892" s="183"/>
      <c r="C892" s="183"/>
      <c r="D892" s="183"/>
      <c r="E892" s="183"/>
      <c r="F892" s="183"/>
      <c r="G892" s="183"/>
      <c r="H892" s="183"/>
      <c r="I892" s="183"/>
      <c r="J892" s="183"/>
      <c r="K892" s="183"/>
      <c r="L892" s="183"/>
      <c r="M892" s="183"/>
      <c r="N892" s="183"/>
      <c r="O892" s="183"/>
      <c r="P892" s="183"/>
      <c r="Q892" s="183"/>
      <c r="R892" s="183"/>
      <c r="S892" s="183"/>
      <c r="T892" s="183"/>
      <c r="U892" s="183"/>
      <c r="V892" s="183"/>
      <c r="W892" s="183"/>
      <c r="X892" s="183"/>
      <c r="Y892" s="183"/>
      <c r="Z892" s="183"/>
    </row>
    <row r="893" spans="1:26" ht="15" customHeight="1" x14ac:dyDescent="0.25">
      <c r="A893" s="183"/>
      <c r="B893" s="183"/>
      <c r="C893" s="183"/>
      <c r="D893" s="183"/>
      <c r="E893" s="183"/>
      <c r="F893" s="183"/>
      <c r="G893" s="183"/>
      <c r="H893" s="183"/>
      <c r="I893" s="183"/>
      <c r="J893" s="183"/>
      <c r="K893" s="183"/>
      <c r="L893" s="183"/>
      <c r="M893" s="183"/>
      <c r="N893" s="183"/>
      <c r="O893" s="183"/>
      <c r="P893" s="183"/>
      <c r="Q893" s="183"/>
      <c r="R893" s="183"/>
      <c r="S893" s="183"/>
      <c r="T893" s="183"/>
      <c r="U893" s="183"/>
      <c r="V893" s="183"/>
      <c r="W893" s="183"/>
      <c r="X893" s="183"/>
      <c r="Y893" s="183"/>
      <c r="Z893" s="183"/>
    </row>
    <row r="894" spans="1:26" ht="15" customHeight="1" x14ac:dyDescent="0.25">
      <c r="A894" s="183"/>
      <c r="B894" s="183"/>
      <c r="C894" s="183"/>
      <c r="D894" s="183"/>
      <c r="E894" s="183"/>
      <c r="F894" s="183"/>
      <c r="G894" s="183"/>
      <c r="H894" s="183"/>
      <c r="I894" s="183"/>
      <c r="J894" s="183"/>
      <c r="K894" s="183"/>
      <c r="L894" s="183"/>
      <c r="M894" s="183"/>
      <c r="N894" s="183"/>
      <c r="O894" s="183"/>
      <c r="P894" s="183"/>
      <c r="Q894" s="183"/>
      <c r="R894" s="183"/>
      <c r="S894" s="183"/>
      <c r="T894" s="183"/>
      <c r="U894" s="183"/>
      <c r="V894" s="183"/>
      <c r="W894" s="183"/>
      <c r="X894" s="183"/>
      <c r="Y894" s="183"/>
      <c r="Z894" s="183"/>
    </row>
    <row r="895" spans="1:26" ht="15" customHeight="1" x14ac:dyDescent="0.25">
      <c r="A895" s="183"/>
      <c r="B895" s="183"/>
      <c r="C895" s="183"/>
      <c r="D895" s="183"/>
      <c r="E895" s="183"/>
      <c r="F895" s="183"/>
      <c r="G895" s="183"/>
      <c r="H895" s="183"/>
      <c r="I895" s="183"/>
      <c r="J895" s="183"/>
      <c r="K895" s="183"/>
      <c r="L895" s="183"/>
      <c r="M895" s="183"/>
      <c r="N895" s="183"/>
      <c r="O895" s="183"/>
      <c r="P895" s="183"/>
      <c r="Q895" s="183"/>
      <c r="R895" s="183"/>
      <c r="S895" s="183"/>
      <c r="T895" s="183"/>
      <c r="U895" s="183"/>
      <c r="V895" s="183"/>
      <c r="W895" s="183"/>
      <c r="X895" s="183"/>
      <c r="Y895" s="183"/>
      <c r="Z895" s="183"/>
    </row>
    <row r="896" spans="1:26" ht="15" customHeight="1" x14ac:dyDescent="0.25">
      <c r="A896" s="183"/>
      <c r="B896" s="183"/>
      <c r="C896" s="183"/>
      <c r="D896" s="183"/>
      <c r="E896" s="183"/>
      <c r="F896" s="183"/>
      <c r="G896" s="183"/>
      <c r="H896" s="183"/>
      <c r="I896" s="183"/>
      <c r="J896" s="183"/>
      <c r="K896" s="183"/>
      <c r="L896" s="183"/>
      <c r="M896" s="183"/>
      <c r="N896" s="183"/>
      <c r="O896" s="183"/>
      <c r="P896" s="183"/>
      <c r="Q896" s="183"/>
      <c r="R896" s="183"/>
      <c r="S896" s="183"/>
      <c r="T896" s="183"/>
      <c r="U896" s="183"/>
      <c r="V896" s="183"/>
      <c r="W896" s="183"/>
      <c r="X896" s="183"/>
      <c r="Y896" s="183"/>
      <c r="Z896" s="183"/>
    </row>
    <row r="897" spans="1:26" ht="15" customHeight="1" x14ac:dyDescent="0.25">
      <c r="A897" s="183"/>
      <c r="B897" s="183"/>
      <c r="C897" s="183"/>
      <c r="D897" s="183"/>
      <c r="E897" s="183"/>
      <c r="F897" s="183"/>
      <c r="G897" s="183"/>
      <c r="H897" s="183"/>
      <c r="I897" s="183"/>
      <c r="J897" s="183"/>
      <c r="K897" s="183"/>
      <c r="L897" s="183"/>
      <c r="M897" s="183"/>
      <c r="N897" s="183"/>
      <c r="O897" s="183"/>
      <c r="P897" s="183"/>
      <c r="Q897" s="183"/>
      <c r="R897" s="183"/>
      <c r="S897" s="183"/>
      <c r="T897" s="183"/>
      <c r="U897" s="183"/>
      <c r="V897" s="183"/>
      <c r="W897" s="183"/>
      <c r="X897" s="183"/>
      <c r="Y897" s="183"/>
      <c r="Z897" s="183"/>
    </row>
    <row r="898" spans="1:26" ht="15" customHeight="1" x14ac:dyDescent="0.25">
      <c r="A898" s="183"/>
      <c r="B898" s="183"/>
      <c r="C898" s="183"/>
      <c r="D898" s="183"/>
      <c r="E898" s="183"/>
      <c r="F898" s="183"/>
      <c r="G898" s="183"/>
      <c r="H898" s="183"/>
      <c r="I898" s="183"/>
      <c r="J898" s="183"/>
      <c r="K898" s="183"/>
      <c r="L898" s="183"/>
      <c r="M898" s="183"/>
      <c r="N898" s="183"/>
      <c r="O898" s="183"/>
      <c r="P898" s="183"/>
      <c r="Q898" s="183"/>
      <c r="R898" s="183"/>
      <c r="S898" s="183"/>
      <c r="T898" s="183"/>
      <c r="U898" s="183"/>
      <c r="V898" s="183"/>
      <c r="W898" s="183"/>
      <c r="X898" s="183"/>
      <c r="Y898" s="183"/>
      <c r="Z898" s="183"/>
    </row>
    <row r="899" spans="1:26" ht="15" customHeight="1" x14ac:dyDescent="0.25">
      <c r="A899" s="183"/>
      <c r="B899" s="183"/>
      <c r="C899" s="183"/>
      <c r="D899" s="183"/>
      <c r="E899" s="183"/>
      <c r="F899" s="183"/>
      <c r="G899" s="183"/>
      <c r="H899" s="183"/>
      <c r="I899" s="183"/>
      <c r="J899" s="183"/>
      <c r="K899" s="183"/>
      <c r="L899" s="183"/>
      <c r="M899" s="183"/>
      <c r="N899" s="183"/>
      <c r="O899" s="183"/>
      <c r="P899" s="183"/>
      <c r="Q899" s="183"/>
      <c r="R899" s="183"/>
      <c r="S899" s="183"/>
      <c r="T899" s="183"/>
      <c r="U899" s="183"/>
      <c r="V899" s="183"/>
      <c r="W899" s="183"/>
      <c r="X899" s="183"/>
      <c r="Y899" s="183"/>
      <c r="Z899" s="183"/>
    </row>
    <row r="900" spans="1:26" ht="15" customHeight="1" x14ac:dyDescent="0.25">
      <c r="A900" s="183"/>
      <c r="B900" s="183"/>
      <c r="C900" s="183"/>
      <c r="D900" s="183"/>
      <c r="E900" s="183"/>
      <c r="F900" s="183"/>
      <c r="G900" s="183"/>
      <c r="H900" s="183"/>
      <c r="I900" s="183"/>
      <c r="J900" s="183"/>
      <c r="K900" s="183"/>
      <c r="L900" s="183"/>
      <c r="M900" s="183"/>
      <c r="N900" s="183"/>
      <c r="O900" s="183"/>
      <c r="P900" s="183"/>
      <c r="Q900" s="183"/>
      <c r="R900" s="183"/>
      <c r="S900" s="183"/>
      <c r="T900" s="183"/>
      <c r="U900" s="183"/>
      <c r="V900" s="183"/>
      <c r="W900" s="183"/>
      <c r="X900" s="183"/>
      <c r="Y900" s="183"/>
      <c r="Z900" s="183"/>
    </row>
    <row r="901" spans="1:26" ht="15" customHeight="1" x14ac:dyDescent="0.25">
      <c r="A901" s="183"/>
      <c r="B901" s="183"/>
      <c r="C901" s="183"/>
      <c r="D901" s="183"/>
      <c r="E901" s="183"/>
      <c r="F901" s="183"/>
      <c r="G901" s="183"/>
      <c r="H901" s="183"/>
      <c r="I901" s="183"/>
      <c r="J901" s="183"/>
      <c r="K901" s="183"/>
      <c r="L901" s="183"/>
      <c r="M901" s="183"/>
      <c r="N901" s="183"/>
      <c r="O901" s="183"/>
      <c r="P901" s="183"/>
      <c r="Q901" s="183"/>
      <c r="R901" s="183"/>
      <c r="S901" s="183"/>
      <c r="T901" s="183"/>
      <c r="U901" s="183"/>
      <c r="V901" s="183"/>
      <c r="W901" s="183"/>
      <c r="X901" s="183"/>
      <c r="Y901" s="183"/>
      <c r="Z901" s="183"/>
    </row>
    <row r="902" spans="1:26" ht="15" customHeight="1" x14ac:dyDescent="0.25">
      <c r="A902" s="183"/>
      <c r="B902" s="183"/>
      <c r="C902" s="183"/>
      <c r="D902" s="183"/>
      <c r="E902" s="183"/>
      <c r="F902" s="183"/>
      <c r="G902" s="183"/>
      <c r="H902" s="183"/>
      <c r="I902" s="183"/>
      <c r="J902" s="183"/>
      <c r="K902" s="183"/>
      <c r="L902" s="183"/>
      <c r="M902" s="183"/>
      <c r="N902" s="183"/>
      <c r="O902" s="183"/>
      <c r="P902" s="183"/>
      <c r="Q902" s="183"/>
      <c r="R902" s="183"/>
      <c r="S902" s="183"/>
      <c r="T902" s="183"/>
      <c r="U902" s="183"/>
      <c r="V902" s="183"/>
      <c r="W902" s="183"/>
      <c r="X902" s="183"/>
      <c r="Y902" s="183"/>
      <c r="Z902" s="183"/>
    </row>
    <row r="903" spans="1:26" ht="15" customHeight="1" x14ac:dyDescent="0.25">
      <c r="A903" s="183"/>
      <c r="B903" s="183"/>
      <c r="C903" s="183"/>
      <c r="D903" s="183"/>
      <c r="E903" s="183"/>
      <c r="F903" s="183"/>
      <c r="G903" s="183"/>
      <c r="H903" s="183"/>
      <c r="I903" s="183"/>
      <c r="J903" s="183"/>
      <c r="K903" s="183"/>
      <c r="L903" s="183"/>
      <c r="M903" s="183"/>
      <c r="N903" s="183"/>
      <c r="O903" s="183"/>
      <c r="P903" s="183"/>
      <c r="Q903" s="183"/>
      <c r="R903" s="183"/>
      <c r="S903" s="183"/>
      <c r="T903" s="183"/>
      <c r="U903" s="183"/>
      <c r="V903" s="183"/>
      <c r="W903" s="183"/>
      <c r="X903" s="183"/>
      <c r="Y903" s="183"/>
      <c r="Z903" s="183"/>
    </row>
    <row r="904" spans="1:26" ht="15" customHeight="1" x14ac:dyDescent="0.25">
      <c r="A904" s="183"/>
      <c r="B904" s="183"/>
      <c r="C904" s="183"/>
      <c r="D904" s="183"/>
      <c r="E904" s="183"/>
      <c r="F904" s="183"/>
      <c r="G904" s="183"/>
      <c r="H904" s="183"/>
      <c r="I904" s="183"/>
      <c r="J904" s="183"/>
      <c r="K904" s="183"/>
      <c r="L904" s="183"/>
      <c r="M904" s="183"/>
      <c r="N904" s="183"/>
      <c r="O904" s="183"/>
      <c r="P904" s="183"/>
      <c r="Q904" s="183"/>
      <c r="R904" s="183"/>
      <c r="S904" s="183"/>
      <c r="T904" s="183"/>
      <c r="U904" s="183"/>
      <c r="V904" s="183"/>
      <c r="W904" s="183"/>
      <c r="X904" s="183"/>
      <c r="Y904" s="183"/>
      <c r="Z904" s="183"/>
    </row>
    <row r="905" spans="1:26" ht="15" customHeight="1" x14ac:dyDescent="0.25">
      <c r="A905" s="183"/>
      <c r="B905" s="183"/>
      <c r="C905" s="183"/>
      <c r="D905" s="183"/>
      <c r="E905" s="183"/>
      <c r="F905" s="183"/>
      <c r="G905" s="183"/>
      <c r="H905" s="183"/>
      <c r="I905" s="183"/>
      <c r="J905" s="183"/>
      <c r="K905" s="183"/>
      <c r="L905" s="183"/>
      <c r="M905" s="183"/>
      <c r="N905" s="183"/>
      <c r="O905" s="183"/>
      <c r="P905" s="183"/>
      <c r="Q905" s="183"/>
      <c r="R905" s="183"/>
      <c r="S905" s="183"/>
      <c r="T905" s="183"/>
      <c r="U905" s="183"/>
      <c r="V905" s="183"/>
      <c r="W905" s="183"/>
      <c r="X905" s="183"/>
      <c r="Y905" s="183"/>
      <c r="Z905" s="183"/>
    </row>
    <row r="906" spans="1:26" ht="15" customHeight="1" x14ac:dyDescent="0.25">
      <c r="A906" s="183"/>
      <c r="B906" s="183"/>
      <c r="C906" s="183"/>
      <c r="D906" s="183"/>
      <c r="E906" s="183"/>
      <c r="F906" s="183"/>
      <c r="G906" s="183"/>
      <c r="H906" s="183"/>
      <c r="I906" s="183"/>
      <c r="J906" s="183"/>
      <c r="K906" s="183"/>
      <c r="L906" s="183"/>
      <c r="M906" s="183"/>
      <c r="N906" s="183"/>
      <c r="O906" s="183"/>
      <c r="P906" s="183"/>
      <c r="Q906" s="183"/>
      <c r="R906" s="183"/>
      <c r="S906" s="183"/>
      <c r="T906" s="183"/>
      <c r="U906" s="183"/>
      <c r="V906" s="183"/>
      <c r="W906" s="183"/>
      <c r="X906" s="183"/>
      <c r="Y906" s="183"/>
      <c r="Z906" s="183"/>
    </row>
    <row r="907" spans="1:26" ht="15" customHeight="1" x14ac:dyDescent="0.25">
      <c r="A907" s="183"/>
      <c r="B907" s="183"/>
      <c r="C907" s="183"/>
      <c r="D907" s="183"/>
      <c r="E907" s="183"/>
      <c r="F907" s="183"/>
      <c r="G907" s="183"/>
      <c r="H907" s="183"/>
      <c r="I907" s="183"/>
      <c r="J907" s="183"/>
      <c r="K907" s="183"/>
      <c r="L907" s="183"/>
      <c r="M907" s="183"/>
      <c r="N907" s="183"/>
      <c r="O907" s="183"/>
      <c r="P907" s="183"/>
      <c r="Q907" s="183"/>
      <c r="R907" s="183"/>
      <c r="S907" s="183"/>
      <c r="T907" s="183"/>
      <c r="U907" s="183"/>
      <c r="V907" s="183"/>
      <c r="W907" s="183"/>
      <c r="X907" s="183"/>
      <c r="Y907" s="183"/>
      <c r="Z907" s="183"/>
    </row>
    <row r="908" spans="1:26" ht="15" customHeight="1" x14ac:dyDescent="0.25">
      <c r="A908" s="183"/>
      <c r="B908" s="183"/>
      <c r="C908" s="183"/>
      <c r="D908" s="183"/>
      <c r="E908" s="183"/>
      <c r="F908" s="183"/>
      <c r="G908" s="183"/>
      <c r="H908" s="183"/>
      <c r="I908" s="183"/>
      <c r="J908" s="183"/>
      <c r="K908" s="183"/>
      <c r="L908" s="183"/>
      <c r="M908" s="183"/>
      <c r="N908" s="183"/>
      <c r="O908" s="183"/>
      <c r="P908" s="183"/>
      <c r="Q908" s="183"/>
      <c r="R908" s="183"/>
      <c r="S908" s="183"/>
      <c r="T908" s="183"/>
      <c r="U908" s="183"/>
      <c r="V908" s="183"/>
      <c r="W908" s="183"/>
      <c r="X908" s="183"/>
      <c r="Y908" s="183"/>
      <c r="Z908" s="183"/>
    </row>
    <row r="909" spans="1:26" ht="15" customHeight="1" x14ac:dyDescent="0.25">
      <c r="A909" s="183"/>
      <c r="B909" s="183"/>
      <c r="C909" s="183"/>
      <c r="D909" s="183"/>
      <c r="E909" s="183"/>
      <c r="F909" s="183"/>
      <c r="G909" s="183"/>
      <c r="H909" s="183"/>
      <c r="I909" s="183"/>
      <c r="J909" s="183"/>
      <c r="K909" s="183"/>
      <c r="L909" s="183"/>
      <c r="M909" s="183"/>
      <c r="N909" s="183"/>
      <c r="O909" s="183"/>
      <c r="P909" s="183"/>
      <c r="Q909" s="183"/>
      <c r="R909" s="183"/>
      <c r="S909" s="183"/>
      <c r="T909" s="183"/>
      <c r="U909" s="183"/>
      <c r="V909" s="183"/>
      <c r="W909" s="183"/>
      <c r="X909" s="183"/>
      <c r="Y909" s="183"/>
      <c r="Z909" s="183"/>
    </row>
    <row r="910" spans="1:26" ht="15" customHeight="1" x14ac:dyDescent="0.25">
      <c r="A910" s="183"/>
      <c r="B910" s="183"/>
      <c r="C910" s="183"/>
      <c r="D910" s="183"/>
      <c r="E910" s="183"/>
      <c r="F910" s="183"/>
      <c r="G910" s="183"/>
      <c r="H910" s="183"/>
      <c r="I910" s="183"/>
      <c r="J910" s="183"/>
      <c r="K910" s="183"/>
      <c r="L910" s="183"/>
      <c r="M910" s="183"/>
      <c r="N910" s="183"/>
      <c r="O910" s="183"/>
      <c r="P910" s="183"/>
      <c r="Q910" s="183"/>
      <c r="R910" s="183"/>
      <c r="S910" s="183"/>
      <c r="T910" s="183"/>
      <c r="U910" s="183"/>
      <c r="V910" s="183"/>
      <c r="W910" s="183"/>
      <c r="X910" s="183"/>
      <c r="Y910" s="183"/>
      <c r="Z910" s="183"/>
    </row>
    <row r="911" spans="1:26" ht="15" customHeight="1" x14ac:dyDescent="0.25">
      <c r="A911" s="183"/>
      <c r="B911" s="183"/>
      <c r="C911" s="183"/>
      <c r="D911" s="183"/>
      <c r="E911" s="183"/>
      <c r="F911" s="183"/>
      <c r="G911" s="183"/>
      <c r="H911" s="183"/>
      <c r="I911" s="183"/>
      <c r="J911" s="183"/>
      <c r="K911" s="183"/>
      <c r="L911" s="183"/>
      <c r="M911" s="183"/>
      <c r="N911" s="183"/>
      <c r="O911" s="183"/>
      <c r="P911" s="183"/>
      <c r="Q911" s="183"/>
      <c r="R911" s="183"/>
      <c r="S911" s="183"/>
      <c r="T911" s="183"/>
      <c r="U911" s="183"/>
      <c r="V911" s="183"/>
      <c r="W911" s="183"/>
      <c r="X911" s="183"/>
      <c r="Y911" s="183"/>
      <c r="Z911" s="183"/>
    </row>
    <row r="912" spans="1:26" ht="15" customHeight="1" x14ac:dyDescent="0.25">
      <c r="A912" s="183"/>
      <c r="B912" s="183"/>
      <c r="C912" s="183"/>
      <c r="D912" s="183"/>
      <c r="E912" s="183"/>
      <c r="F912" s="183"/>
      <c r="G912" s="183"/>
      <c r="H912" s="183"/>
      <c r="I912" s="183"/>
      <c r="J912" s="183"/>
      <c r="K912" s="183"/>
      <c r="L912" s="183"/>
      <c r="M912" s="183"/>
      <c r="N912" s="183"/>
      <c r="O912" s="183"/>
      <c r="P912" s="183"/>
      <c r="Q912" s="183"/>
      <c r="R912" s="183"/>
      <c r="S912" s="183"/>
      <c r="T912" s="183"/>
      <c r="U912" s="183"/>
      <c r="V912" s="183"/>
      <c r="W912" s="183"/>
      <c r="X912" s="183"/>
      <c r="Y912" s="183"/>
      <c r="Z912" s="183"/>
    </row>
    <row r="913" spans="1:26" ht="15" customHeight="1" x14ac:dyDescent="0.25">
      <c r="A913" s="183"/>
      <c r="B913" s="183"/>
      <c r="C913" s="183"/>
      <c r="D913" s="183"/>
      <c r="E913" s="183"/>
      <c r="F913" s="183"/>
      <c r="G913" s="183"/>
      <c r="H913" s="183"/>
      <c r="I913" s="183"/>
      <c r="J913" s="183"/>
      <c r="K913" s="183"/>
      <c r="L913" s="183"/>
      <c r="M913" s="183"/>
      <c r="N913" s="183"/>
      <c r="O913" s="183"/>
      <c r="P913" s="183"/>
      <c r="Q913" s="183"/>
      <c r="R913" s="183"/>
      <c r="S913" s="183"/>
      <c r="T913" s="183"/>
      <c r="U913" s="183"/>
      <c r="V913" s="183"/>
      <c r="W913" s="183"/>
      <c r="X913" s="183"/>
      <c r="Y913" s="183"/>
      <c r="Z913" s="183"/>
    </row>
    <row r="914" spans="1:26" ht="15" customHeight="1" x14ac:dyDescent="0.25">
      <c r="A914" s="183"/>
      <c r="B914" s="183"/>
      <c r="C914" s="183"/>
      <c r="D914" s="183"/>
      <c r="E914" s="183"/>
      <c r="F914" s="183"/>
      <c r="G914" s="183"/>
      <c r="H914" s="183"/>
      <c r="I914" s="183"/>
      <c r="J914" s="183"/>
      <c r="K914" s="183"/>
      <c r="L914" s="183"/>
      <c r="M914" s="183"/>
      <c r="N914" s="183"/>
      <c r="O914" s="183"/>
      <c r="P914" s="183"/>
      <c r="Q914" s="183"/>
      <c r="R914" s="183"/>
      <c r="S914" s="183"/>
      <c r="T914" s="183"/>
      <c r="U914" s="183"/>
      <c r="V914" s="183"/>
      <c r="W914" s="183"/>
      <c r="X914" s="183"/>
      <c r="Y914" s="183"/>
      <c r="Z914" s="183"/>
    </row>
    <row r="915" spans="1:26" ht="15" customHeight="1" x14ac:dyDescent="0.25">
      <c r="A915" s="183"/>
      <c r="B915" s="183"/>
      <c r="C915" s="183"/>
      <c r="D915" s="183"/>
      <c r="E915" s="183"/>
      <c r="F915" s="183"/>
      <c r="G915" s="183"/>
      <c r="H915" s="183"/>
      <c r="I915" s="183"/>
      <c r="J915" s="183"/>
      <c r="K915" s="183"/>
      <c r="L915" s="183"/>
      <c r="M915" s="183"/>
      <c r="N915" s="183"/>
      <c r="O915" s="183"/>
      <c r="P915" s="183"/>
      <c r="Q915" s="183"/>
      <c r="R915" s="183"/>
      <c r="S915" s="183"/>
      <c r="T915" s="183"/>
      <c r="U915" s="183"/>
      <c r="V915" s="183"/>
      <c r="W915" s="183"/>
      <c r="X915" s="183"/>
      <c r="Y915" s="183"/>
      <c r="Z915" s="183"/>
    </row>
    <row r="916" spans="1:26" ht="15" customHeight="1" x14ac:dyDescent="0.25">
      <c r="A916" s="183"/>
      <c r="B916" s="183"/>
      <c r="C916" s="183"/>
      <c r="D916" s="183"/>
      <c r="E916" s="183"/>
      <c r="F916" s="183"/>
      <c r="G916" s="183"/>
      <c r="H916" s="183"/>
      <c r="I916" s="183"/>
      <c r="J916" s="183"/>
      <c r="K916" s="183"/>
      <c r="L916" s="183"/>
      <c r="M916" s="183"/>
      <c r="N916" s="183"/>
      <c r="O916" s="183"/>
      <c r="P916" s="183"/>
      <c r="Q916" s="183"/>
      <c r="R916" s="183"/>
      <c r="S916" s="183"/>
      <c r="T916" s="183"/>
      <c r="U916" s="183"/>
      <c r="V916" s="183"/>
      <c r="W916" s="183"/>
      <c r="X916" s="183"/>
      <c r="Y916" s="183"/>
      <c r="Z916" s="183"/>
    </row>
    <row r="917" spans="1:26" ht="15" customHeight="1" x14ac:dyDescent="0.25">
      <c r="A917" s="183"/>
      <c r="B917" s="183"/>
      <c r="C917" s="183"/>
      <c r="D917" s="183"/>
      <c r="E917" s="183"/>
      <c r="F917" s="183"/>
      <c r="G917" s="183"/>
      <c r="H917" s="183"/>
      <c r="I917" s="183"/>
      <c r="J917" s="183"/>
      <c r="K917" s="183"/>
      <c r="L917" s="183"/>
      <c r="M917" s="183"/>
      <c r="N917" s="183"/>
      <c r="O917" s="183"/>
      <c r="P917" s="183"/>
      <c r="Q917" s="183"/>
      <c r="R917" s="183"/>
      <c r="S917" s="183"/>
      <c r="T917" s="183"/>
      <c r="U917" s="183"/>
      <c r="V917" s="183"/>
      <c r="W917" s="183"/>
      <c r="X917" s="183"/>
      <c r="Y917" s="183"/>
      <c r="Z917" s="183"/>
    </row>
    <row r="918" spans="1:26" ht="15" customHeight="1" x14ac:dyDescent="0.25">
      <c r="A918" s="183"/>
      <c r="B918" s="183"/>
      <c r="C918" s="183"/>
      <c r="D918" s="183"/>
      <c r="E918" s="183"/>
      <c r="F918" s="183"/>
      <c r="G918" s="183"/>
      <c r="H918" s="183"/>
      <c r="I918" s="183"/>
      <c r="J918" s="183"/>
      <c r="K918" s="183"/>
      <c r="L918" s="183"/>
      <c r="M918" s="183"/>
      <c r="N918" s="183"/>
      <c r="O918" s="183"/>
      <c r="P918" s="183"/>
      <c r="Q918" s="183"/>
      <c r="R918" s="183"/>
      <c r="S918" s="183"/>
      <c r="T918" s="183"/>
      <c r="U918" s="183"/>
      <c r="V918" s="183"/>
      <c r="W918" s="183"/>
      <c r="X918" s="183"/>
      <c r="Y918" s="183"/>
      <c r="Z918" s="183"/>
    </row>
    <row r="919" spans="1:26" ht="15" customHeight="1" x14ac:dyDescent="0.25">
      <c r="A919" s="183"/>
      <c r="B919" s="183"/>
      <c r="C919" s="183"/>
      <c r="D919" s="183"/>
      <c r="E919" s="183"/>
      <c r="F919" s="183"/>
      <c r="G919" s="183"/>
      <c r="H919" s="183"/>
      <c r="I919" s="183"/>
      <c r="J919" s="183"/>
      <c r="K919" s="183"/>
      <c r="L919" s="183"/>
      <c r="M919" s="183"/>
      <c r="N919" s="183"/>
      <c r="O919" s="183"/>
      <c r="P919" s="183"/>
      <c r="Q919" s="183"/>
      <c r="R919" s="183"/>
      <c r="S919" s="183"/>
      <c r="T919" s="183"/>
      <c r="U919" s="183"/>
      <c r="V919" s="183"/>
      <c r="W919" s="183"/>
      <c r="X919" s="183"/>
      <c r="Y919" s="183"/>
      <c r="Z919" s="183"/>
    </row>
    <row r="920" spans="1:26" ht="15" customHeight="1" x14ac:dyDescent="0.25">
      <c r="A920" s="183"/>
      <c r="B920" s="183"/>
      <c r="C920" s="183"/>
      <c r="D920" s="183"/>
      <c r="E920" s="183"/>
      <c r="F920" s="183"/>
      <c r="G920" s="183"/>
      <c r="H920" s="183"/>
      <c r="I920" s="183"/>
      <c r="J920" s="183"/>
      <c r="K920" s="183"/>
      <c r="L920" s="183"/>
      <c r="M920" s="183"/>
      <c r="N920" s="183"/>
      <c r="O920" s="183"/>
      <c r="P920" s="183"/>
      <c r="Q920" s="183"/>
      <c r="R920" s="183"/>
      <c r="S920" s="183"/>
      <c r="T920" s="183"/>
      <c r="U920" s="183"/>
      <c r="V920" s="183"/>
      <c r="W920" s="183"/>
      <c r="X920" s="183"/>
      <c r="Y920" s="183"/>
      <c r="Z920" s="183"/>
    </row>
    <row r="921" spans="1:26" ht="15" customHeight="1" x14ac:dyDescent="0.25">
      <c r="A921" s="183"/>
      <c r="B921" s="183"/>
      <c r="C921" s="183"/>
      <c r="D921" s="183"/>
      <c r="E921" s="183"/>
      <c r="F921" s="183"/>
      <c r="G921" s="183"/>
      <c r="H921" s="183"/>
      <c r="I921" s="183"/>
      <c r="J921" s="183"/>
      <c r="K921" s="183"/>
      <c r="L921" s="183"/>
      <c r="M921" s="183"/>
      <c r="N921" s="183"/>
      <c r="O921" s="183"/>
      <c r="P921" s="183"/>
      <c r="Q921" s="183"/>
      <c r="R921" s="183"/>
      <c r="S921" s="183"/>
      <c r="T921" s="183"/>
      <c r="U921" s="183"/>
      <c r="V921" s="183"/>
      <c r="W921" s="183"/>
      <c r="X921" s="183"/>
      <c r="Y921" s="183"/>
      <c r="Z921" s="183"/>
    </row>
    <row r="922" spans="1:26" ht="15" customHeight="1" x14ac:dyDescent="0.25">
      <c r="A922" s="183"/>
      <c r="B922" s="183"/>
      <c r="C922" s="183"/>
      <c r="D922" s="183"/>
      <c r="E922" s="183"/>
      <c r="F922" s="183"/>
      <c r="G922" s="183"/>
      <c r="H922" s="183"/>
      <c r="I922" s="183"/>
      <c r="J922" s="183"/>
      <c r="K922" s="183"/>
      <c r="L922" s="183"/>
      <c r="M922" s="183"/>
      <c r="N922" s="183"/>
      <c r="O922" s="183"/>
      <c r="P922" s="183"/>
      <c r="Q922" s="183"/>
      <c r="R922" s="183"/>
      <c r="S922" s="183"/>
      <c r="T922" s="183"/>
      <c r="U922" s="183"/>
      <c r="V922" s="183"/>
      <c r="W922" s="183"/>
      <c r="X922" s="183"/>
      <c r="Y922" s="183"/>
      <c r="Z922" s="183"/>
    </row>
    <row r="923" spans="1:26" ht="15" customHeight="1" x14ac:dyDescent="0.25">
      <c r="A923" s="183"/>
      <c r="B923" s="183"/>
      <c r="C923" s="183"/>
      <c r="D923" s="183"/>
      <c r="E923" s="183"/>
      <c r="F923" s="183"/>
      <c r="G923" s="183"/>
      <c r="H923" s="183"/>
      <c r="I923" s="183"/>
      <c r="J923" s="183"/>
      <c r="K923" s="183"/>
      <c r="L923" s="183"/>
      <c r="M923" s="183"/>
      <c r="N923" s="183"/>
      <c r="O923" s="183"/>
      <c r="P923" s="183"/>
      <c r="Q923" s="183"/>
      <c r="R923" s="183"/>
      <c r="S923" s="183"/>
      <c r="T923" s="183"/>
      <c r="U923" s="183"/>
      <c r="V923" s="183"/>
      <c r="W923" s="183"/>
      <c r="X923" s="183"/>
      <c r="Y923" s="183"/>
      <c r="Z923" s="183"/>
    </row>
    <row r="924" spans="1:26" ht="15" customHeight="1" x14ac:dyDescent="0.25">
      <c r="A924" s="183"/>
      <c r="B924" s="183"/>
      <c r="C924" s="183"/>
      <c r="D924" s="183"/>
      <c r="E924" s="183"/>
      <c r="F924" s="183"/>
      <c r="G924" s="183"/>
      <c r="H924" s="183"/>
      <c r="I924" s="183"/>
      <c r="J924" s="183"/>
      <c r="K924" s="183"/>
      <c r="L924" s="183"/>
      <c r="M924" s="183"/>
      <c r="N924" s="183"/>
      <c r="O924" s="183"/>
      <c r="P924" s="183"/>
      <c r="Q924" s="183"/>
      <c r="R924" s="183"/>
      <c r="S924" s="183"/>
      <c r="T924" s="183"/>
      <c r="U924" s="183"/>
      <c r="V924" s="183"/>
      <c r="W924" s="183"/>
      <c r="X924" s="183"/>
      <c r="Y924" s="183"/>
      <c r="Z924" s="183"/>
    </row>
    <row r="925" spans="1:26" ht="15" customHeight="1" x14ac:dyDescent="0.25">
      <c r="A925" s="183"/>
      <c r="B925" s="183"/>
      <c r="C925" s="183"/>
      <c r="D925" s="183"/>
      <c r="E925" s="183"/>
      <c r="F925" s="183"/>
      <c r="G925" s="183"/>
      <c r="H925" s="183"/>
      <c r="I925" s="183"/>
      <c r="J925" s="183"/>
      <c r="K925" s="183"/>
      <c r="L925" s="183"/>
      <c r="M925" s="183"/>
      <c r="N925" s="183"/>
      <c r="O925" s="183"/>
      <c r="P925" s="183"/>
      <c r="Q925" s="183"/>
      <c r="R925" s="183"/>
      <c r="S925" s="183"/>
      <c r="T925" s="183"/>
      <c r="U925" s="183"/>
      <c r="V925" s="183"/>
      <c r="W925" s="183"/>
      <c r="X925" s="183"/>
      <c r="Y925" s="183"/>
      <c r="Z925" s="183"/>
    </row>
    <row r="926" spans="1:26" ht="15" customHeight="1" x14ac:dyDescent="0.25">
      <c r="A926" s="183"/>
      <c r="B926" s="183"/>
      <c r="C926" s="183"/>
      <c r="D926" s="183"/>
      <c r="E926" s="183"/>
      <c r="F926" s="183"/>
      <c r="G926" s="183"/>
      <c r="H926" s="183"/>
      <c r="I926" s="183"/>
      <c r="J926" s="183"/>
      <c r="K926" s="183"/>
      <c r="L926" s="183"/>
      <c r="M926" s="183"/>
      <c r="N926" s="183"/>
      <c r="O926" s="183"/>
      <c r="P926" s="183"/>
      <c r="Q926" s="183"/>
      <c r="R926" s="183"/>
      <c r="S926" s="183"/>
      <c r="T926" s="183"/>
      <c r="U926" s="183"/>
      <c r="V926" s="183"/>
      <c r="W926" s="183"/>
      <c r="X926" s="183"/>
      <c r="Y926" s="183"/>
      <c r="Z926" s="183"/>
    </row>
    <row r="927" spans="1:26" ht="15" customHeight="1" x14ac:dyDescent="0.25">
      <c r="A927" s="183"/>
      <c r="B927" s="183"/>
      <c r="C927" s="183"/>
      <c r="D927" s="183"/>
      <c r="E927" s="183"/>
      <c r="F927" s="183"/>
      <c r="G927" s="183"/>
      <c r="H927" s="183"/>
      <c r="I927" s="183"/>
      <c r="J927" s="183"/>
      <c r="K927" s="183"/>
      <c r="L927" s="183"/>
      <c r="M927" s="183"/>
      <c r="N927" s="183"/>
      <c r="O927" s="183"/>
      <c r="P927" s="183"/>
      <c r="Q927" s="183"/>
      <c r="R927" s="183"/>
      <c r="S927" s="183"/>
      <c r="T927" s="183"/>
      <c r="U927" s="183"/>
      <c r="V927" s="183"/>
      <c r="W927" s="183"/>
      <c r="X927" s="183"/>
      <c r="Y927" s="183"/>
      <c r="Z927" s="183"/>
    </row>
    <row r="928" spans="1:26" ht="15" customHeight="1" x14ac:dyDescent="0.25">
      <c r="A928" s="183"/>
      <c r="B928" s="183"/>
      <c r="C928" s="183"/>
      <c r="D928" s="183"/>
      <c r="E928" s="183"/>
      <c r="F928" s="183"/>
      <c r="G928" s="183"/>
      <c r="H928" s="183"/>
      <c r="I928" s="183"/>
      <c r="J928" s="183"/>
      <c r="K928" s="183"/>
      <c r="L928" s="183"/>
      <c r="M928" s="183"/>
      <c r="N928" s="183"/>
      <c r="O928" s="183"/>
      <c r="P928" s="183"/>
      <c r="Q928" s="183"/>
      <c r="R928" s="183"/>
      <c r="S928" s="183"/>
      <c r="T928" s="183"/>
      <c r="U928" s="183"/>
      <c r="V928" s="183"/>
      <c r="W928" s="183"/>
      <c r="X928" s="183"/>
      <c r="Y928" s="183"/>
      <c r="Z928" s="183"/>
    </row>
    <row r="929" spans="1:26" ht="15" customHeight="1" x14ac:dyDescent="0.25">
      <c r="A929" s="183"/>
      <c r="B929" s="183"/>
      <c r="C929" s="183"/>
      <c r="D929" s="183"/>
      <c r="E929" s="183"/>
      <c r="F929" s="183"/>
      <c r="G929" s="183"/>
      <c r="H929" s="183"/>
      <c r="I929" s="183"/>
      <c r="J929" s="183"/>
      <c r="K929" s="183"/>
      <c r="L929" s="183"/>
      <c r="M929" s="183"/>
      <c r="N929" s="183"/>
      <c r="O929" s="183"/>
      <c r="P929" s="183"/>
      <c r="Q929" s="183"/>
      <c r="R929" s="183"/>
      <c r="S929" s="183"/>
      <c r="T929" s="183"/>
      <c r="U929" s="183"/>
      <c r="V929" s="183"/>
      <c r="W929" s="183"/>
      <c r="X929" s="183"/>
      <c r="Y929" s="183"/>
      <c r="Z929" s="183"/>
    </row>
    <row r="930" spans="1:26" ht="15" customHeight="1" x14ac:dyDescent="0.25">
      <c r="A930" s="183"/>
      <c r="B930" s="183"/>
      <c r="C930" s="183"/>
      <c r="D930" s="183"/>
      <c r="E930" s="183"/>
      <c r="F930" s="183"/>
      <c r="G930" s="183"/>
      <c r="H930" s="183"/>
      <c r="I930" s="183"/>
      <c r="J930" s="183"/>
      <c r="K930" s="183"/>
      <c r="L930" s="183"/>
      <c r="M930" s="183"/>
      <c r="N930" s="183"/>
      <c r="O930" s="183"/>
      <c r="P930" s="183"/>
      <c r="Q930" s="183"/>
      <c r="R930" s="183"/>
      <c r="S930" s="183"/>
      <c r="T930" s="183"/>
      <c r="U930" s="183"/>
      <c r="V930" s="183"/>
      <c r="W930" s="183"/>
      <c r="X930" s="183"/>
      <c r="Y930" s="183"/>
      <c r="Z930" s="183"/>
    </row>
    <row r="931" spans="1:26" ht="15" customHeight="1" x14ac:dyDescent="0.25">
      <c r="A931" s="183"/>
      <c r="B931" s="183"/>
      <c r="C931" s="183"/>
      <c r="D931" s="183"/>
      <c r="E931" s="183"/>
      <c r="F931" s="183"/>
      <c r="G931" s="183"/>
      <c r="H931" s="183"/>
      <c r="I931" s="183"/>
      <c r="J931" s="183"/>
      <c r="K931" s="183"/>
      <c r="L931" s="183"/>
      <c r="M931" s="183"/>
      <c r="N931" s="183"/>
      <c r="O931" s="183"/>
      <c r="P931" s="183"/>
      <c r="Q931" s="183"/>
      <c r="R931" s="183"/>
      <c r="S931" s="183"/>
      <c r="T931" s="183"/>
      <c r="U931" s="183"/>
      <c r="V931" s="183"/>
      <c r="W931" s="183"/>
      <c r="X931" s="183"/>
      <c r="Y931" s="183"/>
      <c r="Z931" s="183"/>
    </row>
    <row r="932" spans="1:26" ht="15" customHeight="1" x14ac:dyDescent="0.25">
      <c r="A932" s="183"/>
      <c r="B932" s="183"/>
      <c r="C932" s="183"/>
      <c r="D932" s="183"/>
      <c r="E932" s="183"/>
      <c r="F932" s="183"/>
      <c r="G932" s="183"/>
      <c r="H932" s="183"/>
      <c r="I932" s="183"/>
      <c r="J932" s="183"/>
      <c r="K932" s="183"/>
      <c r="L932" s="183"/>
      <c r="M932" s="183"/>
      <c r="N932" s="183"/>
      <c r="O932" s="183"/>
      <c r="P932" s="183"/>
      <c r="Q932" s="183"/>
      <c r="R932" s="183"/>
      <c r="S932" s="183"/>
      <c r="T932" s="183"/>
      <c r="U932" s="183"/>
      <c r="V932" s="183"/>
      <c r="W932" s="183"/>
      <c r="X932" s="183"/>
      <c r="Y932" s="183"/>
      <c r="Z932" s="183"/>
    </row>
    <row r="933" spans="1:26" ht="15" customHeight="1" x14ac:dyDescent="0.25">
      <c r="A933" s="183"/>
      <c r="B933" s="183"/>
      <c r="C933" s="183"/>
      <c r="D933" s="183"/>
      <c r="E933" s="183"/>
      <c r="F933" s="183"/>
      <c r="G933" s="183"/>
      <c r="H933" s="183"/>
      <c r="I933" s="183"/>
      <c r="J933" s="183"/>
      <c r="K933" s="183"/>
      <c r="L933" s="183"/>
      <c r="M933" s="183"/>
      <c r="N933" s="183"/>
      <c r="O933" s="183"/>
      <c r="P933" s="183"/>
      <c r="Q933" s="183"/>
      <c r="R933" s="183"/>
      <c r="S933" s="183"/>
      <c r="T933" s="183"/>
      <c r="U933" s="183"/>
      <c r="V933" s="183"/>
      <c r="W933" s="183"/>
      <c r="X933" s="183"/>
      <c r="Y933" s="183"/>
      <c r="Z933" s="183"/>
    </row>
    <row r="934" spans="1:26" ht="15" customHeight="1" x14ac:dyDescent="0.25">
      <c r="A934" s="183"/>
      <c r="B934" s="183"/>
      <c r="C934" s="183"/>
      <c r="D934" s="183"/>
      <c r="E934" s="183"/>
      <c r="F934" s="183"/>
      <c r="G934" s="183"/>
      <c r="H934" s="183"/>
      <c r="I934" s="183"/>
      <c r="J934" s="183"/>
      <c r="K934" s="183"/>
      <c r="L934" s="183"/>
      <c r="M934" s="183"/>
      <c r="N934" s="183"/>
      <c r="O934" s="183"/>
      <c r="P934" s="183"/>
      <c r="Q934" s="183"/>
      <c r="R934" s="183"/>
      <c r="S934" s="183"/>
      <c r="T934" s="183"/>
      <c r="U934" s="183"/>
      <c r="V934" s="183"/>
      <c r="W934" s="183"/>
      <c r="X934" s="183"/>
      <c r="Y934" s="183"/>
      <c r="Z934" s="183"/>
    </row>
    <row r="935" spans="1:26" ht="15" customHeight="1" x14ac:dyDescent="0.25">
      <c r="A935" s="183"/>
      <c r="B935" s="183"/>
      <c r="C935" s="183"/>
      <c r="D935" s="183"/>
      <c r="E935" s="183"/>
      <c r="F935" s="183"/>
      <c r="G935" s="183"/>
      <c r="H935" s="183"/>
      <c r="I935" s="183"/>
      <c r="J935" s="183"/>
      <c r="K935" s="183"/>
      <c r="L935" s="183"/>
      <c r="M935" s="183"/>
      <c r="N935" s="183"/>
      <c r="O935" s="183"/>
      <c r="P935" s="183"/>
      <c r="Q935" s="183"/>
      <c r="R935" s="183"/>
      <c r="S935" s="183"/>
      <c r="T935" s="183"/>
      <c r="U935" s="183"/>
      <c r="V935" s="183"/>
      <c r="W935" s="183"/>
      <c r="X935" s="183"/>
      <c r="Y935" s="183"/>
      <c r="Z935" s="183"/>
    </row>
    <row r="936" spans="1:26" ht="15" customHeight="1" x14ac:dyDescent="0.25">
      <c r="A936" s="183"/>
      <c r="B936" s="183"/>
      <c r="C936" s="183"/>
      <c r="D936" s="183"/>
      <c r="E936" s="183"/>
      <c r="F936" s="183"/>
      <c r="G936" s="183"/>
      <c r="H936" s="183"/>
      <c r="I936" s="183"/>
      <c r="J936" s="183"/>
      <c r="K936" s="183"/>
      <c r="L936" s="183"/>
      <c r="M936" s="183"/>
      <c r="N936" s="183"/>
      <c r="O936" s="183"/>
      <c r="P936" s="183"/>
      <c r="Q936" s="183"/>
      <c r="R936" s="183"/>
      <c r="S936" s="183"/>
      <c r="T936" s="183"/>
      <c r="U936" s="183"/>
      <c r="V936" s="183"/>
      <c r="W936" s="183"/>
      <c r="X936" s="183"/>
      <c r="Y936" s="183"/>
      <c r="Z936" s="183"/>
    </row>
    <row r="937" spans="1:26" ht="15" customHeight="1" x14ac:dyDescent="0.25">
      <c r="A937" s="183"/>
      <c r="B937" s="183"/>
      <c r="C937" s="183"/>
      <c r="D937" s="183"/>
      <c r="E937" s="183"/>
      <c r="F937" s="183"/>
      <c r="G937" s="183"/>
      <c r="H937" s="183"/>
      <c r="I937" s="183"/>
      <c r="J937" s="183"/>
      <c r="K937" s="183"/>
      <c r="L937" s="183"/>
      <c r="M937" s="183"/>
      <c r="N937" s="183"/>
      <c r="O937" s="183"/>
      <c r="P937" s="183"/>
      <c r="Q937" s="183"/>
      <c r="R937" s="183"/>
      <c r="S937" s="183"/>
      <c r="T937" s="183"/>
      <c r="U937" s="183"/>
      <c r="V937" s="183"/>
      <c r="W937" s="183"/>
      <c r="X937" s="183"/>
      <c r="Y937" s="183"/>
      <c r="Z937" s="183"/>
    </row>
    <row r="938" spans="1:26" ht="15" customHeight="1" x14ac:dyDescent="0.25">
      <c r="A938" s="183"/>
      <c r="B938" s="183"/>
      <c r="C938" s="183"/>
      <c r="D938" s="183"/>
      <c r="E938" s="183"/>
      <c r="F938" s="183"/>
      <c r="G938" s="183"/>
      <c r="H938" s="183"/>
      <c r="I938" s="183"/>
      <c r="J938" s="183"/>
      <c r="K938" s="183"/>
      <c r="L938" s="183"/>
      <c r="M938" s="183"/>
      <c r="N938" s="183"/>
      <c r="O938" s="183"/>
      <c r="P938" s="183"/>
      <c r="Q938" s="183"/>
      <c r="R938" s="183"/>
      <c r="S938" s="183"/>
      <c r="T938" s="183"/>
      <c r="U938" s="183"/>
      <c r="V938" s="183"/>
      <c r="W938" s="183"/>
      <c r="X938" s="183"/>
      <c r="Y938" s="183"/>
      <c r="Z938" s="183"/>
    </row>
    <row r="939" spans="1:26" ht="15" customHeight="1" x14ac:dyDescent="0.25">
      <c r="A939" s="183"/>
      <c r="B939" s="183"/>
      <c r="C939" s="183"/>
      <c r="D939" s="183"/>
      <c r="E939" s="183"/>
      <c r="F939" s="183"/>
      <c r="G939" s="183"/>
      <c r="H939" s="183"/>
      <c r="I939" s="183"/>
      <c r="J939" s="183"/>
      <c r="K939" s="183"/>
      <c r="L939" s="183"/>
      <c r="M939" s="183"/>
      <c r="N939" s="183"/>
      <c r="O939" s="183"/>
      <c r="P939" s="183"/>
      <c r="Q939" s="183"/>
      <c r="R939" s="183"/>
      <c r="S939" s="183"/>
      <c r="T939" s="183"/>
      <c r="U939" s="183"/>
      <c r="V939" s="183"/>
      <c r="W939" s="183"/>
      <c r="X939" s="183"/>
      <c r="Y939" s="183"/>
      <c r="Z939" s="183"/>
    </row>
    <row r="940" spans="1:26" ht="15" customHeight="1" x14ac:dyDescent="0.25">
      <c r="A940" s="183"/>
      <c r="B940" s="183"/>
      <c r="C940" s="183"/>
      <c r="D940" s="183"/>
      <c r="E940" s="183"/>
      <c r="F940" s="183"/>
      <c r="G940" s="183"/>
      <c r="H940" s="183"/>
      <c r="I940" s="183"/>
      <c r="J940" s="183"/>
      <c r="K940" s="183"/>
      <c r="L940" s="183"/>
      <c r="M940" s="183"/>
      <c r="N940" s="183"/>
      <c r="O940" s="183"/>
      <c r="P940" s="183"/>
      <c r="Q940" s="183"/>
      <c r="R940" s="183"/>
      <c r="S940" s="183"/>
      <c r="T940" s="183"/>
      <c r="U940" s="183"/>
      <c r="V940" s="183"/>
      <c r="W940" s="183"/>
      <c r="X940" s="183"/>
      <c r="Y940" s="183"/>
      <c r="Z940" s="183"/>
    </row>
    <row r="941" spans="1:26" ht="15" customHeight="1" x14ac:dyDescent="0.25">
      <c r="A941" s="183"/>
      <c r="B941" s="183"/>
      <c r="C941" s="183"/>
      <c r="D941" s="183"/>
      <c r="E941" s="183"/>
      <c r="F941" s="183"/>
      <c r="G941" s="183"/>
      <c r="H941" s="183"/>
      <c r="I941" s="183"/>
      <c r="J941" s="183"/>
      <c r="K941" s="183"/>
      <c r="L941" s="183"/>
      <c r="M941" s="183"/>
      <c r="N941" s="183"/>
      <c r="O941" s="183"/>
      <c r="P941" s="183"/>
      <c r="Q941" s="183"/>
      <c r="R941" s="183"/>
      <c r="S941" s="183"/>
      <c r="T941" s="183"/>
      <c r="U941" s="183"/>
      <c r="V941" s="183"/>
      <c r="W941" s="183"/>
      <c r="X941" s="183"/>
      <c r="Y941" s="183"/>
      <c r="Z941" s="183"/>
    </row>
    <row r="942" spans="1:26" ht="15" customHeight="1" x14ac:dyDescent="0.25">
      <c r="A942" s="183"/>
      <c r="B942" s="183"/>
      <c r="C942" s="183"/>
      <c r="D942" s="183"/>
      <c r="E942" s="183"/>
      <c r="F942" s="183"/>
      <c r="G942" s="183"/>
      <c r="H942" s="183"/>
      <c r="I942" s="183"/>
      <c r="J942" s="183"/>
      <c r="K942" s="183"/>
      <c r="L942" s="183"/>
      <c r="M942" s="183"/>
      <c r="N942" s="183"/>
      <c r="O942" s="183"/>
      <c r="P942" s="183"/>
      <c r="Q942" s="183"/>
      <c r="R942" s="183"/>
      <c r="S942" s="183"/>
      <c r="T942" s="183"/>
      <c r="U942" s="183"/>
      <c r="V942" s="183"/>
      <c r="W942" s="183"/>
      <c r="X942" s="183"/>
      <c r="Y942" s="183"/>
      <c r="Z942" s="183"/>
    </row>
    <row r="943" spans="1:26" ht="15" customHeight="1" x14ac:dyDescent="0.25">
      <c r="A943" s="183"/>
      <c r="B943" s="183"/>
      <c r="C943" s="183"/>
      <c r="D943" s="183"/>
      <c r="E943" s="183"/>
      <c r="F943" s="183"/>
      <c r="G943" s="183"/>
      <c r="H943" s="183"/>
      <c r="I943" s="183"/>
      <c r="J943" s="183"/>
      <c r="K943" s="183"/>
      <c r="L943" s="183"/>
      <c r="M943" s="183"/>
      <c r="N943" s="183"/>
      <c r="O943" s="183"/>
      <c r="P943" s="183"/>
      <c r="Q943" s="183"/>
      <c r="R943" s="183"/>
      <c r="S943" s="183"/>
      <c r="T943" s="183"/>
      <c r="U943" s="183"/>
      <c r="V943" s="183"/>
      <c r="W943" s="183"/>
      <c r="X943" s="183"/>
      <c r="Y943" s="183"/>
      <c r="Z943" s="183"/>
    </row>
    <row r="944" spans="1:26" ht="15" customHeight="1" x14ac:dyDescent="0.25">
      <c r="A944" s="183"/>
      <c r="B944" s="183"/>
      <c r="C944" s="183"/>
      <c r="D944" s="183"/>
      <c r="E944" s="183"/>
      <c r="F944" s="183"/>
      <c r="G944" s="183"/>
      <c r="H944" s="183"/>
      <c r="I944" s="183"/>
      <c r="J944" s="183"/>
      <c r="K944" s="183"/>
      <c r="L944" s="183"/>
      <c r="M944" s="183"/>
      <c r="N944" s="183"/>
      <c r="O944" s="183"/>
      <c r="P944" s="183"/>
      <c r="Q944" s="183"/>
      <c r="R944" s="183"/>
      <c r="S944" s="183"/>
      <c r="T944" s="183"/>
      <c r="U944" s="183"/>
      <c r="V944" s="183"/>
      <c r="W944" s="183"/>
      <c r="X944" s="183"/>
      <c r="Y944" s="183"/>
      <c r="Z944" s="183"/>
    </row>
    <row r="945" spans="1:26" ht="15" customHeight="1" x14ac:dyDescent="0.25">
      <c r="A945" s="183"/>
      <c r="B945" s="183"/>
      <c r="C945" s="183"/>
      <c r="D945" s="183"/>
      <c r="E945" s="183"/>
      <c r="F945" s="183"/>
      <c r="G945" s="183"/>
      <c r="H945" s="183"/>
      <c r="I945" s="183"/>
      <c r="J945" s="183"/>
      <c r="K945" s="183"/>
      <c r="L945" s="183"/>
      <c r="M945" s="183"/>
      <c r="N945" s="183"/>
      <c r="O945" s="183"/>
      <c r="P945" s="183"/>
      <c r="Q945" s="183"/>
      <c r="R945" s="183"/>
      <c r="S945" s="183"/>
      <c r="T945" s="183"/>
      <c r="U945" s="183"/>
      <c r="V945" s="183"/>
      <c r="W945" s="183"/>
      <c r="X945" s="183"/>
      <c r="Y945" s="183"/>
      <c r="Z945" s="183"/>
    </row>
    <row r="946" spans="1:26" ht="15" customHeight="1" x14ac:dyDescent="0.25">
      <c r="A946" s="183"/>
      <c r="B946" s="183"/>
      <c r="C946" s="183"/>
      <c r="D946" s="183"/>
      <c r="E946" s="183"/>
      <c r="F946" s="183"/>
      <c r="G946" s="183"/>
      <c r="H946" s="183"/>
      <c r="I946" s="183"/>
      <c r="J946" s="183"/>
      <c r="K946" s="183"/>
      <c r="L946" s="183"/>
      <c r="M946" s="183"/>
      <c r="N946" s="183"/>
      <c r="O946" s="183"/>
      <c r="P946" s="183"/>
      <c r="Q946" s="183"/>
      <c r="R946" s="183"/>
      <c r="S946" s="183"/>
      <c r="T946" s="183"/>
      <c r="U946" s="183"/>
      <c r="V946" s="183"/>
      <c r="W946" s="183"/>
      <c r="X946" s="183"/>
      <c r="Y946" s="183"/>
      <c r="Z946" s="183"/>
    </row>
    <row r="947" spans="1:26" ht="15" customHeight="1" x14ac:dyDescent="0.25">
      <c r="A947" s="183"/>
      <c r="B947" s="183"/>
      <c r="C947" s="183"/>
      <c r="D947" s="183"/>
      <c r="E947" s="183"/>
      <c r="F947" s="183"/>
      <c r="G947" s="183"/>
      <c r="H947" s="183"/>
      <c r="I947" s="183"/>
      <c r="J947" s="183"/>
      <c r="K947" s="183"/>
      <c r="L947" s="183"/>
      <c r="M947" s="183"/>
      <c r="N947" s="183"/>
      <c r="O947" s="183"/>
      <c r="P947" s="183"/>
      <c r="Q947" s="183"/>
      <c r="R947" s="183"/>
      <c r="S947" s="183"/>
      <c r="T947" s="183"/>
      <c r="U947" s="183"/>
      <c r="V947" s="183"/>
      <c r="W947" s="183"/>
      <c r="X947" s="183"/>
      <c r="Y947" s="183"/>
      <c r="Z947" s="183"/>
    </row>
    <row r="948" spans="1:26" ht="15" customHeight="1" x14ac:dyDescent="0.25">
      <c r="A948" s="183"/>
      <c r="B948" s="183"/>
      <c r="C948" s="183"/>
      <c r="D948" s="183"/>
      <c r="E948" s="183"/>
      <c r="F948" s="183"/>
      <c r="G948" s="183"/>
      <c r="H948" s="183"/>
      <c r="I948" s="183"/>
      <c r="J948" s="183"/>
      <c r="K948" s="183"/>
      <c r="L948" s="183"/>
      <c r="M948" s="183"/>
      <c r="N948" s="183"/>
      <c r="O948" s="183"/>
      <c r="P948" s="183"/>
      <c r="Q948" s="183"/>
      <c r="R948" s="183"/>
      <c r="S948" s="183"/>
      <c r="T948" s="183"/>
      <c r="U948" s="183"/>
      <c r="V948" s="183"/>
      <c r="W948" s="183"/>
      <c r="X948" s="183"/>
      <c r="Y948" s="183"/>
      <c r="Z948" s="183"/>
    </row>
    <row r="949" spans="1:26" ht="15" customHeight="1" x14ac:dyDescent="0.25">
      <c r="A949" s="183"/>
      <c r="B949" s="183"/>
      <c r="C949" s="183"/>
      <c r="D949" s="183"/>
      <c r="E949" s="183"/>
      <c r="F949" s="183"/>
      <c r="G949" s="183"/>
      <c r="H949" s="183"/>
      <c r="I949" s="183"/>
      <c r="J949" s="183"/>
      <c r="K949" s="183"/>
      <c r="L949" s="183"/>
      <c r="M949" s="183"/>
      <c r="N949" s="183"/>
      <c r="O949" s="183"/>
      <c r="P949" s="183"/>
      <c r="Q949" s="183"/>
      <c r="R949" s="183"/>
      <c r="S949" s="183"/>
      <c r="T949" s="183"/>
      <c r="U949" s="183"/>
      <c r="V949" s="183"/>
      <c r="W949" s="183"/>
      <c r="X949" s="183"/>
      <c r="Y949" s="183"/>
      <c r="Z949" s="183"/>
    </row>
    <row r="950" spans="1:26" ht="15" customHeight="1" x14ac:dyDescent="0.25">
      <c r="A950" s="183"/>
      <c r="B950" s="183"/>
      <c r="C950" s="183"/>
      <c r="D950" s="183"/>
      <c r="E950" s="183"/>
      <c r="F950" s="183"/>
      <c r="G950" s="183"/>
      <c r="H950" s="183"/>
      <c r="I950" s="183"/>
      <c r="J950" s="183"/>
      <c r="K950" s="183"/>
      <c r="L950" s="183"/>
      <c r="M950" s="183"/>
      <c r="N950" s="183"/>
      <c r="O950" s="183"/>
      <c r="P950" s="183"/>
      <c r="Q950" s="183"/>
      <c r="R950" s="183"/>
      <c r="S950" s="183"/>
      <c r="T950" s="183"/>
      <c r="U950" s="183"/>
      <c r="V950" s="183"/>
      <c r="W950" s="183"/>
      <c r="X950" s="183"/>
      <c r="Y950" s="183"/>
      <c r="Z950" s="183"/>
    </row>
    <row r="951" spans="1:26" ht="15" customHeight="1" x14ac:dyDescent="0.25">
      <c r="A951" s="183"/>
      <c r="B951" s="183"/>
      <c r="C951" s="183"/>
      <c r="D951" s="183"/>
      <c r="E951" s="183"/>
      <c r="F951" s="183"/>
      <c r="G951" s="183"/>
      <c r="H951" s="183"/>
      <c r="I951" s="183"/>
      <c r="J951" s="183"/>
      <c r="K951" s="183"/>
      <c r="L951" s="183"/>
      <c r="M951" s="183"/>
      <c r="N951" s="183"/>
      <c r="O951" s="183"/>
      <c r="P951" s="183"/>
      <c r="Q951" s="183"/>
      <c r="R951" s="183"/>
      <c r="S951" s="183"/>
      <c r="T951" s="183"/>
      <c r="U951" s="183"/>
      <c r="V951" s="183"/>
      <c r="W951" s="183"/>
      <c r="X951" s="183"/>
      <c r="Y951" s="183"/>
      <c r="Z951" s="183"/>
    </row>
    <row r="952" spans="1:26" ht="15" customHeight="1" x14ac:dyDescent="0.25">
      <c r="A952" s="183"/>
      <c r="B952" s="183"/>
      <c r="C952" s="183"/>
      <c r="D952" s="183"/>
      <c r="E952" s="183"/>
      <c r="F952" s="183"/>
      <c r="G952" s="183"/>
      <c r="H952" s="183"/>
      <c r="I952" s="183"/>
      <c r="J952" s="183"/>
      <c r="K952" s="183"/>
      <c r="L952" s="183"/>
      <c r="M952" s="183"/>
      <c r="N952" s="183"/>
      <c r="O952" s="183"/>
      <c r="P952" s="183"/>
      <c r="Q952" s="183"/>
      <c r="R952" s="183"/>
      <c r="S952" s="183"/>
      <c r="T952" s="183"/>
      <c r="U952" s="183"/>
      <c r="V952" s="183"/>
      <c r="W952" s="183"/>
      <c r="X952" s="183"/>
      <c r="Y952" s="183"/>
      <c r="Z952" s="183"/>
    </row>
    <row r="953" spans="1:26" ht="15" customHeight="1" x14ac:dyDescent="0.25">
      <c r="A953" s="183"/>
      <c r="B953" s="183"/>
      <c r="C953" s="183"/>
      <c r="D953" s="183"/>
      <c r="E953" s="183"/>
      <c r="F953" s="183"/>
      <c r="G953" s="183"/>
      <c r="H953" s="183"/>
      <c r="I953" s="183"/>
      <c r="J953" s="183"/>
      <c r="K953" s="183"/>
      <c r="L953" s="183"/>
      <c r="M953" s="183"/>
      <c r="N953" s="183"/>
      <c r="O953" s="183"/>
      <c r="P953" s="183"/>
      <c r="Q953" s="183"/>
      <c r="R953" s="183"/>
      <c r="S953" s="183"/>
      <c r="T953" s="183"/>
      <c r="U953" s="183"/>
      <c r="V953" s="183"/>
      <c r="W953" s="183"/>
      <c r="X953" s="183"/>
      <c r="Y953" s="183"/>
      <c r="Z953" s="183"/>
    </row>
    <row r="954" spans="1:26" ht="15" customHeight="1" x14ac:dyDescent="0.25">
      <c r="A954" s="183"/>
      <c r="B954" s="183"/>
      <c r="C954" s="183"/>
      <c r="D954" s="183"/>
      <c r="E954" s="183"/>
      <c r="F954" s="183"/>
      <c r="G954" s="183"/>
      <c r="H954" s="183"/>
      <c r="I954" s="183"/>
      <c r="J954" s="183"/>
      <c r="K954" s="183"/>
      <c r="L954" s="183"/>
      <c r="M954" s="183"/>
      <c r="N954" s="183"/>
      <c r="O954" s="183"/>
      <c r="P954" s="183"/>
      <c r="Q954" s="183"/>
      <c r="R954" s="183"/>
      <c r="S954" s="183"/>
      <c r="T954" s="183"/>
      <c r="U954" s="183"/>
      <c r="V954" s="183"/>
      <c r="W954" s="183"/>
      <c r="X954" s="183"/>
      <c r="Y954" s="183"/>
      <c r="Z954" s="183"/>
    </row>
    <row r="955" spans="1:26" ht="15" customHeight="1" x14ac:dyDescent="0.25">
      <c r="A955" s="183"/>
      <c r="B955" s="183"/>
      <c r="C955" s="183"/>
      <c r="D955" s="183"/>
      <c r="E955" s="183"/>
      <c r="F955" s="183"/>
      <c r="G955" s="183"/>
      <c r="H955" s="183"/>
      <c r="I955" s="183"/>
      <c r="J955" s="183"/>
      <c r="K955" s="183"/>
      <c r="L955" s="183"/>
      <c r="M955" s="183"/>
      <c r="N955" s="183"/>
      <c r="O955" s="183"/>
      <c r="P955" s="183"/>
      <c r="Q955" s="183"/>
      <c r="R955" s="183"/>
      <c r="S955" s="183"/>
      <c r="T955" s="183"/>
      <c r="U955" s="183"/>
      <c r="V955" s="183"/>
      <c r="W955" s="183"/>
      <c r="X955" s="183"/>
      <c r="Y955" s="183"/>
      <c r="Z955" s="183"/>
    </row>
    <row r="956" spans="1:26" ht="15" customHeight="1" x14ac:dyDescent="0.25">
      <c r="A956" s="183"/>
      <c r="B956" s="183"/>
      <c r="C956" s="183"/>
      <c r="D956" s="183"/>
      <c r="E956" s="183"/>
      <c r="F956" s="183"/>
      <c r="G956" s="183"/>
      <c r="H956" s="183"/>
      <c r="I956" s="183"/>
      <c r="J956" s="183"/>
      <c r="K956" s="183"/>
      <c r="L956" s="183"/>
      <c r="M956" s="183"/>
      <c r="N956" s="183"/>
      <c r="O956" s="183"/>
      <c r="P956" s="183"/>
      <c r="Q956" s="183"/>
      <c r="R956" s="183"/>
      <c r="S956" s="183"/>
      <c r="T956" s="183"/>
      <c r="U956" s="183"/>
      <c r="V956" s="183"/>
      <c r="W956" s="183"/>
      <c r="X956" s="183"/>
      <c r="Y956" s="183"/>
      <c r="Z956" s="183"/>
    </row>
    <row r="957" spans="1:26" ht="15" customHeight="1" x14ac:dyDescent="0.25">
      <c r="A957" s="183"/>
      <c r="B957" s="183"/>
      <c r="C957" s="183"/>
      <c r="D957" s="183"/>
      <c r="E957" s="183"/>
      <c r="F957" s="183"/>
      <c r="G957" s="183"/>
      <c r="H957" s="183"/>
      <c r="I957" s="183"/>
      <c r="J957" s="183"/>
      <c r="K957" s="183"/>
      <c r="L957" s="183"/>
      <c r="M957" s="183"/>
      <c r="N957" s="183"/>
      <c r="O957" s="183"/>
      <c r="P957" s="183"/>
      <c r="Q957" s="183"/>
      <c r="R957" s="183"/>
      <c r="S957" s="183"/>
      <c r="T957" s="183"/>
      <c r="U957" s="183"/>
      <c r="V957" s="183"/>
      <c r="W957" s="183"/>
      <c r="X957" s="183"/>
      <c r="Y957" s="183"/>
      <c r="Z957" s="183"/>
    </row>
    <row r="958" spans="1:26" ht="15" customHeight="1" x14ac:dyDescent="0.25">
      <c r="A958" s="183"/>
      <c r="B958" s="183"/>
      <c r="C958" s="183"/>
      <c r="D958" s="183"/>
      <c r="E958" s="183"/>
      <c r="F958" s="183"/>
      <c r="G958" s="183"/>
      <c r="H958" s="183"/>
      <c r="I958" s="183"/>
      <c r="J958" s="183"/>
      <c r="K958" s="183"/>
      <c r="L958" s="183"/>
      <c r="M958" s="183"/>
      <c r="N958" s="183"/>
      <c r="O958" s="183"/>
      <c r="P958" s="183"/>
      <c r="Q958" s="183"/>
      <c r="R958" s="183"/>
      <c r="S958" s="183"/>
      <c r="T958" s="183"/>
      <c r="U958" s="183"/>
      <c r="V958" s="183"/>
      <c r="W958" s="183"/>
      <c r="X958" s="183"/>
      <c r="Y958" s="183"/>
      <c r="Z958" s="183"/>
    </row>
    <row r="959" spans="1:26" ht="15" customHeight="1" x14ac:dyDescent="0.25">
      <c r="A959" s="183"/>
      <c r="B959" s="183"/>
      <c r="C959" s="183"/>
      <c r="D959" s="183"/>
      <c r="E959" s="183"/>
      <c r="F959" s="183"/>
      <c r="G959" s="183"/>
      <c r="H959" s="183"/>
      <c r="I959" s="183"/>
      <c r="J959" s="183"/>
      <c r="K959" s="183"/>
      <c r="L959" s="183"/>
      <c r="M959" s="183"/>
      <c r="N959" s="183"/>
      <c r="O959" s="183"/>
      <c r="P959" s="183"/>
      <c r="Q959" s="183"/>
      <c r="R959" s="183"/>
      <c r="S959" s="183"/>
      <c r="T959" s="183"/>
      <c r="U959" s="183"/>
      <c r="V959" s="183"/>
      <c r="W959" s="183"/>
      <c r="X959" s="183"/>
      <c r="Y959" s="183"/>
      <c r="Z959" s="183"/>
    </row>
    <row r="960" spans="1:26" ht="15" customHeight="1" x14ac:dyDescent="0.25">
      <c r="A960" s="183"/>
      <c r="B960" s="183"/>
      <c r="C960" s="183"/>
      <c r="D960" s="183"/>
      <c r="E960" s="183"/>
      <c r="F960" s="183"/>
      <c r="G960" s="183"/>
      <c r="H960" s="183"/>
      <c r="I960" s="183"/>
      <c r="J960" s="183"/>
      <c r="K960" s="183"/>
      <c r="L960" s="183"/>
      <c r="M960" s="183"/>
      <c r="N960" s="183"/>
      <c r="O960" s="183"/>
      <c r="P960" s="183"/>
      <c r="Q960" s="183"/>
      <c r="R960" s="183"/>
      <c r="S960" s="183"/>
      <c r="T960" s="183"/>
      <c r="U960" s="183"/>
      <c r="V960" s="183"/>
      <c r="W960" s="183"/>
      <c r="X960" s="183"/>
      <c r="Y960" s="183"/>
      <c r="Z960" s="183"/>
    </row>
    <row r="961" spans="1:26" ht="15" customHeight="1" x14ac:dyDescent="0.25">
      <c r="A961" s="183"/>
      <c r="B961" s="183"/>
      <c r="C961" s="183"/>
      <c r="D961" s="183"/>
      <c r="E961" s="183"/>
      <c r="F961" s="183"/>
      <c r="G961" s="183"/>
      <c r="H961" s="183"/>
      <c r="I961" s="183"/>
      <c r="J961" s="183"/>
      <c r="K961" s="183"/>
      <c r="L961" s="183"/>
      <c r="M961" s="183"/>
      <c r="N961" s="183"/>
      <c r="O961" s="183"/>
      <c r="P961" s="183"/>
      <c r="Q961" s="183"/>
      <c r="R961" s="183"/>
      <c r="S961" s="183"/>
      <c r="T961" s="183"/>
      <c r="U961" s="183"/>
      <c r="V961" s="183"/>
      <c r="W961" s="183"/>
      <c r="X961" s="183"/>
      <c r="Y961" s="183"/>
      <c r="Z961" s="183"/>
    </row>
    <row r="962" spans="1:26" ht="15" customHeight="1" x14ac:dyDescent="0.25">
      <c r="A962" s="183"/>
      <c r="B962" s="183"/>
      <c r="C962" s="183"/>
      <c r="D962" s="183"/>
      <c r="E962" s="183"/>
      <c r="F962" s="183"/>
      <c r="G962" s="183"/>
      <c r="H962" s="183"/>
      <c r="I962" s="183"/>
      <c r="J962" s="183"/>
      <c r="K962" s="183"/>
      <c r="L962" s="183"/>
      <c r="M962" s="183"/>
      <c r="N962" s="183"/>
      <c r="O962" s="183"/>
      <c r="P962" s="183"/>
      <c r="Q962" s="183"/>
      <c r="R962" s="183"/>
      <c r="S962" s="183"/>
      <c r="T962" s="183"/>
      <c r="U962" s="183"/>
      <c r="V962" s="183"/>
      <c r="W962" s="183"/>
      <c r="X962" s="183"/>
      <c r="Y962" s="183"/>
      <c r="Z962" s="183"/>
    </row>
    <row r="963" spans="1:26" ht="15" customHeight="1" x14ac:dyDescent="0.25">
      <c r="A963" s="183"/>
      <c r="B963" s="183"/>
      <c r="C963" s="183"/>
      <c r="D963" s="183"/>
      <c r="E963" s="183"/>
      <c r="F963" s="183"/>
      <c r="G963" s="183"/>
      <c r="H963" s="183"/>
      <c r="I963" s="183"/>
      <c r="J963" s="183"/>
      <c r="K963" s="183"/>
      <c r="L963" s="183"/>
      <c r="M963" s="183"/>
      <c r="N963" s="183"/>
      <c r="O963" s="183"/>
      <c r="P963" s="183"/>
      <c r="Q963" s="183"/>
      <c r="R963" s="183"/>
      <c r="S963" s="183"/>
      <c r="T963" s="183"/>
      <c r="U963" s="183"/>
      <c r="V963" s="183"/>
      <c r="W963" s="183"/>
      <c r="X963" s="183"/>
      <c r="Y963" s="183"/>
      <c r="Z963" s="183"/>
    </row>
    <row r="964" spans="1:26" ht="15" customHeight="1" x14ac:dyDescent="0.25">
      <c r="A964" s="183"/>
      <c r="B964" s="183"/>
      <c r="C964" s="183"/>
      <c r="D964" s="183"/>
      <c r="E964" s="183"/>
      <c r="F964" s="183"/>
      <c r="G964" s="183"/>
      <c r="H964" s="183"/>
      <c r="I964" s="183"/>
      <c r="J964" s="183"/>
      <c r="K964" s="183"/>
      <c r="L964" s="183"/>
      <c r="M964" s="183"/>
      <c r="N964" s="183"/>
      <c r="O964" s="183"/>
      <c r="P964" s="183"/>
      <c r="Q964" s="183"/>
      <c r="R964" s="183"/>
      <c r="S964" s="183"/>
      <c r="T964" s="183"/>
      <c r="U964" s="183"/>
      <c r="V964" s="183"/>
      <c r="W964" s="183"/>
      <c r="X964" s="183"/>
      <c r="Y964" s="183"/>
      <c r="Z964" s="183"/>
    </row>
    <row r="965" spans="1:26" ht="15" customHeight="1" x14ac:dyDescent="0.25">
      <c r="A965" s="183"/>
      <c r="B965" s="183"/>
      <c r="C965" s="183"/>
      <c r="D965" s="183"/>
      <c r="E965" s="183"/>
      <c r="F965" s="183"/>
      <c r="G965" s="183"/>
      <c r="H965" s="183"/>
      <c r="I965" s="183"/>
      <c r="J965" s="183"/>
      <c r="K965" s="183"/>
      <c r="L965" s="183"/>
      <c r="M965" s="183"/>
      <c r="N965" s="183"/>
      <c r="O965" s="183"/>
      <c r="P965" s="183"/>
      <c r="Q965" s="183"/>
      <c r="R965" s="183"/>
      <c r="S965" s="183"/>
      <c r="T965" s="183"/>
      <c r="U965" s="183"/>
      <c r="V965" s="183"/>
      <c r="W965" s="183"/>
      <c r="X965" s="183"/>
      <c r="Y965" s="183"/>
      <c r="Z965" s="183"/>
    </row>
    <row r="966" spans="1:26" ht="15" customHeight="1" x14ac:dyDescent="0.25">
      <c r="A966" s="183"/>
      <c r="B966" s="183"/>
      <c r="C966" s="183"/>
      <c r="D966" s="183"/>
      <c r="E966" s="183"/>
      <c r="F966" s="183"/>
      <c r="G966" s="183"/>
      <c r="H966" s="183"/>
      <c r="I966" s="183"/>
      <c r="J966" s="183"/>
      <c r="K966" s="183"/>
      <c r="L966" s="183"/>
      <c r="M966" s="183"/>
      <c r="N966" s="183"/>
      <c r="O966" s="183"/>
      <c r="P966" s="183"/>
      <c r="Q966" s="183"/>
      <c r="R966" s="183"/>
      <c r="S966" s="183"/>
      <c r="T966" s="183"/>
      <c r="U966" s="183"/>
      <c r="V966" s="183"/>
      <c r="W966" s="183"/>
      <c r="X966" s="183"/>
      <c r="Y966" s="183"/>
      <c r="Z966" s="183"/>
    </row>
    <row r="967" spans="1:26" ht="15" customHeight="1" x14ac:dyDescent="0.25">
      <c r="A967" s="183"/>
      <c r="B967" s="183"/>
      <c r="C967" s="183"/>
      <c r="D967" s="183"/>
      <c r="E967" s="183"/>
      <c r="F967" s="183"/>
      <c r="G967" s="183"/>
      <c r="H967" s="183"/>
      <c r="I967" s="183"/>
      <c r="J967" s="183"/>
      <c r="K967" s="183"/>
      <c r="L967" s="183"/>
      <c r="M967" s="183"/>
      <c r="N967" s="183"/>
      <c r="O967" s="183"/>
      <c r="P967" s="183"/>
      <c r="Q967" s="183"/>
      <c r="R967" s="183"/>
      <c r="S967" s="183"/>
      <c r="T967" s="183"/>
      <c r="U967" s="183"/>
      <c r="V967" s="183"/>
      <c r="W967" s="183"/>
      <c r="X967" s="183"/>
      <c r="Y967" s="183"/>
      <c r="Z967" s="183"/>
    </row>
    <row r="968" spans="1:26" ht="15" customHeight="1" x14ac:dyDescent="0.25">
      <c r="A968" s="183"/>
      <c r="B968" s="183"/>
      <c r="C968" s="183"/>
      <c r="D968" s="183"/>
      <c r="E968" s="183"/>
      <c r="F968" s="183"/>
      <c r="G968" s="183"/>
      <c r="H968" s="183"/>
      <c r="I968" s="183"/>
      <c r="J968" s="183"/>
      <c r="K968" s="183"/>
      <c r="L968" s="183"/>
      <c r="M968" s="183"/>
      <c r="N968" s="183"/>
      <c r="O968" s="183"/>
      <c r="P968" s="183"/>
      <c r="Q968" s="183"/>
      <c r="R968" s="183"/>
      <c r="S968" s="183"/>
      <c r="T968" s="183"/>
      <c r="U968" s="183"/>
      <c r="V968" s="183"/>
      <c r="W968" s="183"/>
      <c r="X968" s="183"/>
      <c r="Y968" s="183"/>
      <c r="Z968" s="183"/>
    </row>
    <row r="969" spans="1:26" ht="15" customHeight="1" x14ac:dyDescent="0.25">
      <c r="A969" s="183"/>
      <c r="B969" s="183"/>
      <c r="C969" s="183"/>
      <c r="D969" s="183"/>
      <c r="E969" s="183"/>
      <c r="F969" s="183"/>
      <c r="G969" s="183"/>
      <c r="H969" s="183"/>
      <c r="I969" s="183"/>
      <c r="J969" s="183"/>
      <c r="K969" s="183"/>
      <c r="L969" s="183"/>
      <c r="M969" s="183"/>
      <c r="N969" s="183"/>
      <c r="O969" s="183"/>
      <c r="P969" s="183"/>
      <c r="Q969" s="183"/>
      <c r="R969" s="183"/>
      <c r="S969" s="183"/>
      <c r="T969" s="183"/>
      <c r="U969" s="183"/>
      <c r="V969" s="183"/>
      <c r="W969" s="183"/>
      <c r="X969" s="183"/>
      <c r="Y969" s="183"/>
      <c r="Z969" s="183"/>
    </row>
    <row r="970" spans="1:26" ht="15" customHeight="1" x14ac:dyDescent="0.25">
      <c r="A970" s="183"/>
      <c r="B970" s="183"/>
      <c r="C970" s="183"/>
      <c r="D970" s="183"/>
      <c r="E970" s="183"/>
      <c r="F970" s="183"/>
      <c r="G970" s="183"/>
      <c r="H970" s="183"/>
      <c r="I970" s="183"/>
      <c r="J970" s="183"/>
      <c r="K970" s="183"/>
      <c r="L970" s="183"/>
      <c r="M970" s="183"/>
      <c r="N970" s="183"/>
      <c r="O970" s="183"/>
      <c r="P970" s="183"/>
      <c r="Q970" s="183"/>
      <c r="R970" s="183"/>
      <c r="S970" s="183"/>
      <c r="T970" s="183"/>
      <c r="U970" s="183"/>
      <c r="V970" s="183"/>
      <c r="W970" s="183"/>
      <c r="X970" s="183"/>
      <c r="Y970" s="183"/>
      <c r="Z970" s="183"/>
    </row>
    <row r="971" spans="1:26" ht="15" customHeight="1" x14ac:dyDescent="0.25">
      <c r="A971" s="183"/>
      <c r="B971" s="183"/>
      <c r="C971" s="183"/>
      <c r="D971" s="183"/>
      <c r="E971" s="183"/>
      <c r="F971" s="183"/>
      <c r="G971" s="183"/>
      <c r="H971" s="183"/>
      <c r="I971" s="183"/>
      <c r="J971" s="183"/>
      <c r="K971" s="183"/>
      <c r="L971" s="183"/>
      <c r="M971" s="183"/>
      <c r="N971" s="183"/>
      <c r="O971" s="183"/>
      <c r="P971" s="183"/>
      <c r="Q971" s="183"/>
      <c r="R971" s="183"/>
      <c r="S971" s="183"/>
      <c r="T971" s="183"/>
      <c r="U971" s="183"/>
      <c r="V971" s="183"/>
      <c r="W971" s="183"/>
      <c r="X971" s="183"/>
      <c r="Y971" s="183"/>
      <c r="Z971" s="183"/>
    </row>
    <row r="972" spans="1:26" ht="15" customHeight="1" x14ac:dyDescent="0.25">
      <c r="A972" s="183"/>
      <c r="B972" s="183"/>
      <c r="C972" s="183"/>
      <c r="D972" s="183"/>
      <c r="E972" s="183"/>
      <c r="F972" s="183"/>
      <c r="G972" s="183"/>
      <c r="H972" s="183"/>
      <c r="I972" s="183"/>
      <c r="J972" s="183"/>
      <c r="K972" s="183"/>
      <c r="L972" s="183"/>
      <c r="M972" s="183"/>
      <c r="N972" s="183"/>
      <c r="O972" s="183"/>
      <c r="P972" s="183"/>
      <c r="Q972" s="183"/>
      <c r="R972" s="183"/>
      <c r="S972" s="183"/>
      <c r="T972" s="183"/>
      <c r="U972" s="183"/>
      <c r="V972" s="183"/>
      <c r="W972" s="183"/>
      <c r="X972" s="183"/>
      <c r="Y972" s="183"/>
      <c r="Z972" s="183"/>
    </row>
    <row r="973" spans="1:26" ht="15" customHeight="1" x14ac:dyDescent="0.25">
      <c r="A973" s="183"/>
      <c r="B973" s="183"/>
      <c r="C973" s="183"/>
      <c r="D973" s="183"/>
      <c r="E973" s="183"/>
      <c r="F973" s="183"/>
      <c r="G973" s="183"/>
      <c r="H973" s="183"/>
      <c r="I973" s="183"/>
      <c r="J973" s="183"/>
      <c r="K973" s="183"/>
      <c r="L973" s="183"/>
      <c r="M973" s="183"/>
      <c r="N973" s="183"/>
      <c r="O973" s="183"/>
      <c r="P973" s="183"/>
      <c r="Q973" s="183"/>
      <c r="R973" s="183"/>
      <c r="S973" s="183"/>
      <c r="T973" s="183"/>
      <c r="U973" s="183"/>
      <c r="V973" s="183"/>
      <c r="W973" s="183"/>
      <c r="X973" s="183"/>
      <c r="Y973" s="183"/>
      <c r="Z973" s="183"/>
    </row>
    <row r="974" spans="1:26" ht="15" customHeight="1" x14ac:dyDescent="0.25">
      <c r="A974" s="183"/>
      <c r="B974" s="183"/>
      <c r="C974" s="183"/>
      <c r="D974" s="183"/>
      <c r="E974" s="183"/>
      <c r="F974" s="183"/>
      <c r="G974" s="183"/>
      <c r="H974" s="183"/>
      <c r="I974" s="183"/>
      <c r="J974" s="183"/>
      <c r="K974" s="183"/>
      <c r="L974" s="183"/>
      <c r="M974" s="183"/>
      <c r="N974" s="183"/>
      <c r="O974" s="183"/>
      <c r="P974" s="183"/>
      <c r="Q974" s="183"/>
      <c r="R974" s="183"/>
      <c r="S974" s="183"/>
      <c r="T974" s="183"/>
      <c r="U974" s="183"/>
      <c r="V974" s="183"/>
      <c r="W974" s="183"/>
      <c r="X974" s="183"/>
      <c r="Y974" s="183"/>
      <c r="Z974" s="183"/>
    </row>
    <row r="975" spans="1:26" ht="15" customHeight="1" x14ac:dyDescent="0.25">
      <c r="A975" s="183"/>
      <c r="B975" s="183"/>
      <c r="C975" s="183"/>
      <c r="D975" s="183"/>
      <c r="E975" s="183"/>
      <c r="F975" s="183"/>
      <c r="G975" s="183"/>
      <c r="H975" s="183"/>
      <c r="I975" s="183"/>
      <c r="J975" s="183"/>
      <c r="K975" s="183"/>
      <c r="L975" s="183"/>
      <c r="M975" s="183"/>
      <c r="N975" s="183"/>
      <c r="O975" s="183"/>
      <c r="P975" s="183"/>
      <c r="Q975" s="183"/>
      <c r="R975" s="183"/>
      <c r="S975" s="183"/>
      <c r="T975" s="183"/>
      <c r="U975" s="183"/>
      <c r="V975" s="183"/>
      <c r="W975" s="183"/>
      <c r="X975" s="183"/>
      <c r="Y975" s="183"/>
      <c r="Z975" s="183"/>
    </row>
    <row r="976" spans="1:26" ht="15" customHeight="1" x14ac:dyDescent="0.25">
      <c r="A976" s="183"/>
      <c r="B976" s="183"/>
      <c r="C976" s="183"/>
      <c r="D976" s="183"/>
      <c r="E976" s="183"/>
      <c r="F976" s="183"/>
      <c r="G976" s="183"/>
      <c r="H976" s="183"/>
      <c r="I976" s="183"/>
      <c r="J976" s="183"/>
      <c r="K976" s="183"/>
      <c r="L976" s="183"/>
      <c r="M976" s="183"/>
      <c r="N976" s="183"/>
      <c r="O976" s="183"/>
      <c r="P976" s="183"/>
      <c r="Q976" s="183"/>
      <c r="R976" s="183"/>
      <c r="S976" s="183"/>
      <c r="T976" s="183"/>
      <c r="U976" s="183"/>
      <c r="V976" s="183"/>
      <c r="W976" s="183"/>
      <c r="X976" s="183"/>
      <c r="Y976" s="183"/>
      <c r="Z976" s="183"/>
    </row>
    <row r="977" spans="1:26" ht="15" customHeight="1" x14ac:dyDescent="0.25">
      <c r="A977" s="183"/>
      <c r="B977" s="183"/>
      <c r="C977" s="183"/>
      <c r="D977" s="183"/>
      <c r="E977" s="183"/>
      <c r="F977" s="183"/>
      <c r="G977" s="183"/>
      <c r="H977" s="183"/>
      <c r="I977" s="183"/>
      <c r="J977" s="183"/>
      <c r="K977" s="183"/>
      <c r="L977" s="183"/>
      <c r="M977" s="183"/>
      <c r="N977" s="183"/>
      <c r="O977" s="183"/>
      <c r="P977" s="183"/>
      <c r="Q977" s="183"/>
      <c r="R977" s="183"/>
      <c r="S977" s="183"/>
      <c r="T977" s="183"/>
      <c r="U977" s="183"/>
      <c r="V977" s="183"/>
      <c r="W977" s="183"/>
      <c r="X977" s="183"/>
      <c r="Y977" s="183"/>
      <c r="Z977" s="183"/>
    </row>
    <row r="978" spans="1:26" ht="15" customHeight="1" x14ac:dyDescent="0.25">
      <c r="A978" s="183"/>
      <c r="B978" s="183"/>
      <c r="C978" s="183"/>
      <c r="D978" s="183"/>
      <c r="E978" s="183"/>
      <c r="F978" s="183"/>
      <c r="G978" s="183"/>
      <c r="H978" s="183"/>
      <c r="I978" s="183"/>
      <c r="J978" s="183"/>
      <c r="K978" s="183"/>
      <c r="L978" s="183"/>
      <c r="M978" s="183"/>
      <c r="N978" s="183"/>
      <c r="O978" s="183"/>
      <c r="P978" s="183"/>
      <c r="Q978" s="183"/>
      <c r="R978" s="183"/>
      <c r="S978" s="183"/>
      <c r="T978" s="183"/>
      <c r="U978" s="183"/>
      <c r="V978" s="183"/>
      <c r="W978" s="183"/>
      <c r="X978" s="183"/>
      <c r="Y978" s="183"/>
      <c r="Z978" s="183"/>
    </row>
    <row r="979" spans="1:26" ht="15" customHeight="1" x14ac:dyDescent="0.25">
      <c r="A979" s="183"/>
      <c r="B979" s="183"/>
      <c r="C979" s="183"/>
      <c r="D979" s="183"/>
      <c r="E979" s="183"/>
      <c r="F979" s="183"/>
      <c r="G979" s="183"/>
      <c r="H979" s="183"/>
      <c r="I979" s="183"/>
      <c r="J979" s="183"/>
      <c r="K979" s="183"/>
      <c r="L979" s="183"/>
      <c r="M979" s="183"/>
      <c r="N979" s="183"/>
      <c r="O979" s="183"/>
      <c r="P979" s="183"/>
      <c r="Q979" s="183"/>
      <c r="R979" s="183"/>
      <c r="S979" s="183"/>
      <c r="T979" s="183"/>
      <c r="U979" s="183"/>
      <c r="V979" s="183"/>
      <c r="W979" s="183"/>
      <c r="X979" s="183"/>
      <c r="Y979" s="183"/>
      <c r="Z979" s="183"/>
    </row>
    <row r="980" spans="1:26" ht="15" customHeight="1" x14ac:dyDescent="0.25">
      <c r="A980" s="183"/>
      <c r="B980" s="183"/>
      <c r="C980" s="183"/>
      <c r="D980" s="183"/>
      <c r="E980" s="183"/>
      <c r="F980" s="183"/>
      <c r="G980" s="183"/>
      <c r="H980" s="183"/>
      <c r="I980" s="183"/>
      <c r="J980" s="183"/>
      <c r="K980" s="183"/>
      <c r="L980" s="183"/>
      <c r="M980" s="183"/>
      <c r="N980" s="183"/>
      <c r="O980" s="183"/>
      <c r="P980" s="183"/>
      <c r="Q980" s="183"/>
      <c r="R980" s="183"/>
      <c r="S980" s="183"/>
      <c r="T980" s="183"/>
      <c r="U980" s="183"/>
      <c r="V980" s="183"/>
      <c r="W980" s="183"/>
      <c r="X980" s="183"/>
      <c r="Y980" s="183"/>
      <c r="Z980" s="183"/>
    </row>
    <row r="981" spans="1:26" ht="15" customHeight="1" x14ac:dyDescent="0.25">
      <c r="A981" s="183"/>
      <c r="B981" s="183"/>
      <c r="C981" s="183"/>
      <c r="D981" s="183"/>
      <c r="E981" s="183"/>
      <c r="F981" s="183"/>
      <c r="G981" s="183"/>
      <c r="H981" s="183"/>
      <c r="I981" s="183"/>
      <c r="J981" s="183"/>
      <c r="K981" s="183"/>
      <c r="L981" s="183"/>
      <c r="M981" s="183"/>
      <c r="N981" s="183"/>
      <c r="O981" s="183"/>
      <c r="P981" s="183"/>
      <c r="Q981" s="183"/>
      <c r="R981" s="183"/>
      <c r="S981" s="183"/>
      <c r="T981" s="183"/>
      <c r="U981" s="183"/>
      <c r="V981" s="183"/>
      <c r="W981" s="183"/>
      <c r="X981" s="183"/>
      <c r="Y981" s="183"/>
      <c r="Z981" s="183"/>
    </row>
    <row r="982" spans="1:26" ht="15" customHeight="1" x14ac:dyDescent="0.25">
      <c r="A982" s="183"/>
      <c r="B982" s="183"/>
      <c r="C982" s="183"/>
      <c r="D982" s="183"/>
      <c r="E982" s="183"/>
      <c r="F982" s="183"/>
      <c r="G982" s="183"/>
      <c r="H982" s="183"/>
      <c r="I982" s="183"/>
      <c r="J982" s="183"/>
      <c r="K982" s="183"/>
      <c r="L982" s="183"/>
      <c r="M982" s="183"/>
      <c r="N982" s="183"/>
      <c r="O982" s="183"/>
      <c r="P982" s="183"/>
      <c r="Q982" s="183"/>
      <c r="R982" s="183"/>
      <c r="S982" s="183"/>
      <c r="T982" s="183"/>
      <c r="U982" s="183"/>
      <c r="V982" s="183"/>
      <c r="W982" s="183"/>
      <c r="X982" s="183"/>
      <c r="Y982" s="183"/>
      <c r="Z982" s="183"/>
    </row>
    <row r="983" spans="1:26" ht="15" customHeight="1" x14ac:dyDescent="0.25">
      <c r="A983" s="183"/>
      <c r="B983" s="183"/>
      <c r="C983" s="183"/>
      <c r="D983" s="183"/>
      <c r="E983" s="183"/>
      <c r="F983" s="183"/>
      <c r="G983" s="183"/>
      <c r="H983" s="183"/>
      <c r="I983" s="183"/>
      <c r="J983" s="183"/>
      <c r="K983" s="183"/>
      <c r="L983" s="183"/>
      <c r="M983" s="183"/>
      <c r="N983" s="183"/>
      <c r="O983" s="183"/>
      <c r="P983" s="183"/>
      <c r="Q983" s="183"/>
      <c r="R983" s="183"/>
      <c r="S983" s="183"/>
      <c r="T983" s="183"/>
      <c r="U983" s="183"/>
      <c r="V983" s="183"/>
      <c r="W983" s="183"/>
      <c r="X983" s="183"/>
      <c r="Y983" s="183"/>
      <c r="Z983" s="183"/>
    </row>
    <row r="984" spans="1:26" ht="15" customHeight="1" x14ac:dyDescent="0.25">
      <c r="A984" s="183"/>
      <c r="B984" s="183"/>
      <c r="C984" s="183"/>
      <c r="D984" s="183"/>
      <c r="E984" s="183"/>
      <c r="F984" s="183"/>
      <c r="G984" s="183"/>
      <c r="H984" s="183"/>
      <c r="I984" s="183"/>
      <c r="J984" s="183"/>
      <c r="K984" s="183"/>
      <c r="L984" s="183"/>
      <c r="M984" s="183"/>
      <c r="N984" s="183"/>
      <c r="O984" s="183"/>
      <c r="P984" s="183"/>
      <c r="Q984" s="183"/>
      <c r="R984" s="183"/>
      <c r="S984" s="183"/>
      <c r="T984" s="183"/>
      <c r="U984" s="183"/>
      <c r="V984" s="183"/>
      <c r="W984" s="183"/>
      <c r="X984" s="183"/>
      <c r="Y984" s="183"/>
      <c r="Z984" s="183"/>
    </row>
    <row r="985" spans="1:26" ht="15" customHeight="1" x14ac:dyDescent="0.25">
      <c r="A985" s="183"/>
      <c r="B985" s="183"/>
      <c r="C985" s="183"/>
      <c r="D985" s="183"/>
      <c r="E985" s="183"/>
      <c r="F985" s="183"/>
      <c r="G985" s="183"/>
      <c r="H985" s="183"/>
      <c r="I985" s="183"/>
      <c r="J985" s="183"/>
      <c r="K985" s="183"/>
      <c r="L985" s="183"/>
      <c r="M985" s="183"/>
      <c r="N985" s="183"/>
      <c r="O985" s="183"/>
      <c r="P985" s="183"/>
      <c r="Q985" s="183"/>
      <c r="R985" s="183"/>
      <c r="S985" s="183"/>
      <c r="T985" s="183"/>
      <c r="U985" s="183"/>
      <c r="V985" s="183"/>
      <c r="W985" s="183"/>
      <c r="X985" s="183"/>
      <c r="Y985" s="183"/>
      <c r="Z985" s="183"/>
    </row>
    <row r="986" spans="1:26" ht="15" customHeight="1" x14ac:dyDescent="0.25">
      <c r="A986" s="183"/>
      <c r="B986" s="183"/>
      <c r="C986" s="183"/>
      <c r="D986" s="183"/>
      <c r="E986" s="183"/>
      <c r="F986" s="183"/>
      <c r="G986" s="183"/>
      <c r="H986" s="183"/>
      <c r="I986" s="183"/>
      <c r="J986" s="183"/>
      <c r="K986" s="183"/>
      <c r="L986" s="183"/>
      <c r="M986" s="183"/>
      <c r="N986" s="183"/>
      <c r="O986" s="183"/>
      <c r="P986" s="183"/>
      <c r="Q986" s="183"/>
      <c r="R986" s="183"/>
      <c r="S986" s="183"/>
      <c r="T986" s="183"/>
      <c r="U986" s="183"/>
      <c r="V986" s="183"/>
      <c r="W986" s="183"/>
      <c r="X986" s="183"/>
      <c r="Y986" s="183"/>
      <c r="Z986" s="183"/>
    </row>
    <row r="987" spans="1:26" ht="15" customHeight="1" x14ac:dyDescent="0.25">
      <c r="A987" s="183"/>
      <c r="B987" s="183"/>
      <c r="C987" s="183"/>
      <c r="D987" s="183"/>
      <c r="E987" s="183"/>
      <c r="F987" s="183"/>
      <c r="G987" s="183"/>
      <c r="H987" s="183"/>
      <c r="I987" s="183"/>
      <c r="J987" s="183"/>
      <c r="K987" s="183"/>
      <c r="L987" s="183"/>
      <c r="M987" s="183"/>
      <c r="N987" s="183"/>
      <c r="O987" s="183"/>
      <c r="P987" s="183"/>
      <c r="Q987" s="183"/>
      <c r="R987" s="183"/>
      <c r="S987" s="183"/>
      <c r="T987" s="183"/>
      <c r="U987" s="183"/>
      <c r="V987" s="183"/>
      <c r="W987" s="183"/>
      <c r="X987" s="183"/>
      <c r="Y987" s="183"/>
      <c r="Z987" s="183"/>
    </row>
    <row r="988" spans="1:26" ht="15" customHeight="1" x14ac:dyDescent="0.25">
      <c r="A988" s="183"/>
      <c r="B988" s="183"/>
      <c r="C988" s="183"/>
      <c r="D988" s="183"/>
      <c r="E988" s="183"/>
      <c r="F988" s="183"/>
      <c r="G988" s="183"/>
      <c r="H988" s="183"/>
      <c r="I988" s="183"/>
      <c r="J988" s="183"/>
      <c r="K988" s="183"/>
      <c r="L988" s="183"/>
      <c r="M988" s="183"/>
      <c r="N988" s="183"/>
      <c r="O988" s="183"/>
      <c r="P988" s="183"/>
      <c r="Q988" s="183"/>
      <c r="R988" s="183"/>
      <c r="S988" s="183"/>
      <c r="T988" s="183"/>
      <c r="U988" s="183"/>
      <c r="V988" s="183"/>
      <c r="W988" s="183"/>
      <c r="X988" s="183"/>
      <c r="Y988" s="183"/>
      <c r="Z988" s="183"/>
    </row>
    <row r="989" spans="1:26" ht="15" customHeight="1" x14ac:dyDescent="0.25">
      <c r="A989" s="183"/>
      <c r="B989" s="183"/>
      <c r="C989" s="183"/>
      <c r="D989" s="183"/>
      <c r="E989" s="183"/>
      <c r="F989" s="183"/>
      <c r="G989" s="183"/>
      <c r="H989" s="183"/>
      <c r="I989" s="183"/>
      <c r="J989" s="183"/>
      <c r="K989" s="183"/>
      <c r="L989" s="183"/>
      <c r="M989" s="183"/>
      <c r="N989" s="183"/>
      <c r="O989" s="183"/>
      <c r="P989" s="183"/>
      <c r="Q989" s="183"/>
      <c r="R989" s="183"/>
      <c r="S989" s="183"/>
      <c r="T989" s="183"/>
      <c r="U989" s="183"/>
      <c r="V989" s="183"/>
      <c r="W989" s="183"/>
      <c r="X989" s="183"/>
      <c r="Y989" s="183"/>
      <c r="Z989" s="183"/>
    </row>
    <row r="990" spans="1:26" ht="15" customHeight="1" x14ac:dyDescent="0.25">
      <c r="A990" s="183"/>
      <c r="B990" s="183"/>
      <c r="C990" s="183"/>
      <c r="D990" s="183"/>
      <c r="E990" s="183"/>
      <c r="F990" s="183"/>
      <c r="G990" s="183"/>
      <c r="H990" s="183"/>
      <c r="I990" s="183"/>
      <c r="J990" s="183"/>
      <c r="K990" s="183"/>
      <c r="L990" s="183"/>
      <c r="M990" s="183"/>
      <c r="N990" s="183"/>
      <c r="O990" s="183"/>
      <c r="P990" s="183"/>
      <c r="Q990" s="183"/>
      <c r="R990" s="183"/>
      <c r="S990" s="183"/>
      <c r="T990" s="183"/>
      <c r="U990" s="183"/>
      <c r="V990" s="183"/>
      <c r="W990" s="183"/>
      <c r="X990" s="183"/>
      <c r="Y990" s="183"/>
      <c r="Z990" s="183"/>
    </row>
    <row r="991" spans="1:26" ht="15" customHeight="1" x14ac:dyDescent="0.25">
      <c r="A991" s="183"/>
      <c r="B991" s="183"/>
      <c r="C991" s="183"/>
      <c r="D991" s="183"/>
      <c r="E991" s="183"/>
      <c r="F991" s="183"/>
      <c r="G991" s="183"/>
      <c r="H991" s="183"/>
      <c r="I991" s="183"/>
      <c r="J991" s="183"/>
      <c r="K991" s="183"/>
      <c r="L991" s="183"/>
      <c r="M991" s="183"/>
      <c r="N991" s="183"/>
      <c r="O991" s="183"/>
      <c r="P991" s="183"/>
      <c r="Q991" s="183"/>
      <c r="R991" s="183"/>
      <c r="S991" s="183"/>
      <c r="T991" s="183"/>
      <c r="U991" s="183"/>
      <c r="V991" s="183"/>
      <c r="W991" s="183"/>
      <c r="X991" s="183"/>
      <c r="Y991" s="183"/>
      <c r="Z991" s="183"/>
    </row>
    <row r="992" spans="1:26" ht="15" customHeight="1" x14ac:dyDescent="0.25">
      <c r="A992" s="183"/>
      <c r="B992" s="183"/>
      <c r="C992" s="183"/>
      <c r="D992" s="183"/>
      <c r="E992" s="183"/>
      <c r="F992" s="183"/>
      <c r="G992" s="183"/>
      <c r="H992" s="183"/>
      <c r="I992" s="183"/>
      <c r="J992" s="183"/>
      <c r="K992" s="183"/>
      <c r="L992" s="183"/>
      <c r="M992" s="183"/>
      <c r="N992" s="183"/>
      <c r="O992" s="183"/>
      <c r="P992" s="183"/>
      <c r="Q992" s="183"/>
      <c r="R992" s="183"/>
      <c r="S992" s="183"/>
      <c r="T992" s="183"/>
      <c r="U992" s="183"/>
      <c r="V992" s="183"/>
      <c r="W992" s="183"/>
      <c r="X992" s="183"/>
      <c r="Y992" s="183"/>
      <c r="Z992" s="183"/>
    </row>
    <row r="993" spans="1:26" ht="15" customHeight="1" x14ac:dyDescent="0.25">
      <c r="A993" s="183"/>
      <c r="B993" s="183"/>
      <c r="C993" s="183"/>
      <c r="D993" s="183"/>
      <c r="E993" s="183"/>
      <c r="F993" s="183"/>
      <c r="G993" s="183"/>
      <c r="H993" s="183"/>
      <c r="I993" s="183"/>
      <c r="J993" s="183"/>
      <c r="K993" s="183"/>
      <c r="L993" s="183"/>
      <c r="M993" s="183"/>
      <c r="N993" s="183"/>
      <c r="O993" s="183"/>
      <c r="P993" s="183"/>
      <c r="Q993" s="183"/>
      <c r="R993" s="183"/>
      <c r="S993" s="183"/>
      <c r="T993" s="183"/>
      <c r="U993" s="183"/>
      <c r="V993" s="183"/>
      <c r="W993" s="183"/>
      <c r="X993" s="183"/>
      <c r="Y993" s="183"/>
      <c r="Z993" s="183"/>
    </row>
    <row r="994" spans="1:26" ht="15" customHeight="1" x14ac:dyDescent="0.25">
      <c r="A994" s="183"/>
      <c r="B994" s="183"/>
      <c r="C994" s="183"/>
      <c r="D994" s="183"/>
      <c r="E994" s="183"/>
      <c r="F994" s="183"/>
      <c r="G994" s="183"/>
      <c r="H994" s="183"/>
      <c r="I994" s="183"/>
      <c r="J994" s="183"/>
      <c r="K994" s="183"/>
      <c r="L994" s="183"/>
      <c r="M994" s="183"/>
      <c r="N994" s="183"/>
      <c r="O994" s="183"/>
      <c r="P994" s="183"/>
      <c r="Q994" s="183"/>
      <c r="R994" s="183"/>
      <c r="S994" s="183"/>
      <c r="T994" s="183"/>
      <c r="U994" s="183"/>
      <c r="V994" s="183"/>
      <c r="W994" s="183"/>
      <c r="X994" s="183"/>
      <c r="Y994" s="183"/>
      <c r="Z994" s="183"/>
    </row>
    <row r="995" spans="1:26" ht="15" customHeight="1" x14ac:dyDescent="0.25">
      <c r="A995" s="183"/>
      <c r="B995" s="183"/>
      <c r="C995" s="183"/>
      <c r="D995" s="183"/>
      <c r="E995" s="183"/>
      <c r="F995" s="183"/>
      <c r="G995" s="183"/>
      <c r="H995" s="183"/>
      <c r="I995" s="183"/>
      <c r="J995" s="183"/>
      <c r="K995" s="183"/>
      <c r="L995" s="183"/>
      <c r="M995" s="183"/>
      <c r="N995" s="183"/>
      <c r="O995" s="183"/>
      <c r="P995" s="183"/>
      <c r="Q995" s="183"/>
      <c r="R995" s="183"/>
      <c r="S995" s="183"/>
      <c r="T995" s="183"/>
      <c r="U995" s="183"/>
      <c r="V995" s="183"/>
      <c r="W995" s="183"/>
      <c r="X995" s="183"/>
      <c r="Y995" s="183"/>
      <c r="Z995" s="183"/>
    </row>
    <row r="996" spans="1:26" ht="15" customHeight="1" x14ac:dyDescent="0.25">
      <c r="A996" s="183"/>
      <c r="B996" s="183"/>
      <c r="C996" s="183"/>
      <c r="D996" s="183"/>
      <c r="E996" s="183"/>
      <c r="F996" s="183"/>
      <c r="G996" s="183"/>
      <c r="H996" s="183"/>
      <c r="I996" s="183"/>
      <c r="J996" s="183"/>
      <c r="K996" s="183"/>
      <c r="L996" s="183"/>
      <c r="M996" s="183"/>
      <c r="N996" s="183"/>
      <c r="O996" s="183"/>
      <c r="P996" s="183"/>
      <c r="Q996" s="183"/>
      <c r="R996" s="183"/>
      <c r="S996" s="183"/>
      <c r="T996" s="183"/>
      <c r="U996" s="183"/>
      <c r="V996" s="183"/>
      <c r="W996" s="183"/>
      <c r="X996" s="183"/>
      <c r="Y996" s="183"/>
      <c r="Z996" s="183"/>
    </row>
    <row r="997" spans="1:26" ht="15" customHeight="1" x14ac:dyDescent="0.25">
      <c r="A997" s="183"/>
      <c r="B997" s="183"/>
      <c r="C997" s="183"/>
      <c r="D997" s="183"/>
      <c r="E997" s="183"/>
      <c r="F997" s="183"/>
      <c r="G997" s="183"/>
      <c r="H997" s="183"/>
      <c r="I997" s="183"/>
      <c r="J997" s="183"/>
      <c r="K997" s="183"/>
      <c r="L997" s="183"/>
      <c r="M997" s="183"/>
      <c r="N997" s="183"/>
      <c r="O997" s="183"/>
      <c r="P997" s="183"/>
      <c r="Q997" s="183"/>
      <c r="R997" s="183"/>
      <c r="S997" s="183"/>
      <c r="T997" s="183"/>
      <c r="U997" s="183"/>
      <c r="V997" s="183"/>
      <c r="W997" s="183"/>
      <c r="X997" s="183"/>
      <c r="Y997" s="183"/>
      <c r="Z997" s="183"/>
    </row>
    <row r="998" spans="1:26" ht="15" customHeight="1" x14ac:dyDescent="0.25">
      <c r="A998" s="183"/>
      <c r="B998" s="183"/>
      <c r="C998" s="183"/>
      <c r="D998" s="183"/>
      <c r="E998" s="183"/>
      <c r="F998" s="183"/>
      <c r="G998" s="183"/>
      <c r="H998" s="183"/>
      <c r="I998" s="183"/>
      <c r="J998" s="183"/>
      <c r="K998" s="183"/>
      <c r="L998" s="183"/>
      <c r="M998" s="183"/>
      <c r="N998" s="183"/>
      <c r="O998" s="183"/>
      <c r="P998" s="183"/>
      <c r="Q998" s="183"/>
      <c r="R998" s="183"/>
      <c r="S998" s="183"/>
      <c r="T998" s="183"/>
      <c r="U998" s="183"/>
      <c r="V998" s="183"/>
      <c r="W998" s="183"/>
      <c r="X998" s="183"/>
      <c r="Y998" s="183"/>
      <c r="Z998" s="183"/>
    </row>
    <row r="999" spans="1:26" ht="15" customHeight="1" x14ac:dyDescent="0.25">
      <c r="A999" s="183"/>
      <c r="B999" s="183"/>
      <c r="C999" s="183"/>
      <c r="D999" s="183"/>
      <c r="E999" s="183"/>
      <c r="F999" s="183"/>
      <c r="G999" s="183"/>
      <c r="H999" s="183"/>
      <c r="I999" s="183"/>
      <c r="J999" s="183"/>
      <c r="K999" s="183"/>
      <c r="L999" s="183"/>
      <c r="M999" s="183"/>
      <c r="N999" s="183"/>
      <c r="O999" s="183"/>
      <c r="P999" s="183"/>
      <c r="Q999" s="183"/>
      <c r="R999" s="183"/>
      <c r="S999" s="183"/>
      <c r="T999" s="183"/>
      <c r="U999" s="183"/>
      <c r="V999" s="183"/>
      <c r="W999" s="183"/>
      <c r="X999" s="183"/>
      <c r="Y999" s="183"/>
      <c r="Z999" s="183"/>
    </row>
    <row r="1000" spans="1:26" ht="15" customHeight="1" x14ac:dyDescent="0.25">
      <c r="A1000" s="183"/>
      <c r="B1000" s="183"/>
      <c r="C1000" s="183"/>
      <c r="D1000" s="183"/>
      <c r="E1000" s="183"/>
      <c r="F1000" s="183"/>
      <c r="G1000" s="183"/>
      <c r="H1000" s="183"/>
      <c r="I1000" s="183"/>
      <c r="J1000" s="183"/>
      <c r="K1000" s="183"/>
      <c r="L1000" s="183"/>
      <c r="M1000" s="183"/>
      <c r="N1000" s="183"/>
      <c r="O1000" s="183"/>
      <c r="P1000" s="183"/>
      <c r="Q1000" s="183"/>
      <c r="R1000" s="183"/>
      <c r="S1000" s="183"/>
      <c r="T1000" s="183"/>
      <c r="U1000" s="183"/>
      <c r="V1000" s="183"/>
      <c r="W1000" s="183"/>
      <c r="X1000" s="183"/>
      <c r="Y1000" s="183"/>
      <c r="Z1000" s="183"/>
    </row>
  </sheetData>
  <mergeCells count="1">
    <mergeCell ref="B1:G1"/>
  </mergeCells>
  <pageMargins left="0.7" right="0.7" top="0.75" bottom="0.75" header="0" footer="0"/>
  <pageSetup scale="91" orientation="landscape" r:id="rId1"/>
  <headerFooter>
    <oddHeader>&amp;C&amp;A</oddHead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1"/>
  <sheetViews>
    <sheetView showGridLines="0" zoomScaleNormal="100" workbookViewId="0">
      <selection activeCell="G7" sqref="G7"/>
    </sheetView>
  </sheetViews>
  <sheetFormatPr baseColWidth="10" defaultColWidth="20.140625" defaultRowHeight="21" x14ac:dyDescent="0.35"/>
  <cols>
    <col min="1" max="1" width="35.7109375" style="43" customWidth="1"/>
    <col min="2" max="2" width="24.85546875" style="574" bestFit="1" customWidth="1"/>
    <col min="3" max="4" width="26.7109375" style="574" bestFit="1" customWidth="1"/>
    <col min="5" max="5" width="29.140625" style="574" bestFit="1" customWidth="1"/>
    <col min="6" max="7" width="30.85546875" style="574" bestFit="1" customWidth="1"/>
    <col min="8" max="16384" width="20.140625" style="43"/>
  </cols>
  <sheetData>
    <row r="1" spans="1:7" ht="33" customHeight="1" x14ac:dyDescent="0.35">
      <c r="A1" s="567" t="s">
        <v>400</v>
      </c>
      <c r="B1" s="567"/>
      <c r="C1" s="567"/>
      <c r="D1" s="567"/>
      <c r="E1" s="567"/>
      <c r="F1" s="567"/>
      <c r="G1" s="567"/>
    </row>
    <row r="4" spans="1:7" x14ac:dyDescent="0.35">
      <c r="A4" s="568" t="s">
        <v>19</v>
      </c>
      <c r="B4" s="569">
        <v>0</v>
      </c>
      <c r="C4" s="569">
        <f>+'C.A.F'!E10</f>
        <v>2026</v>
      </c>
      <c r="D4" s="569">
        <f>+'C.A.F'!G10</f>
        <v>2027</v>
      </c>
      <c r="E4" s="569">
        <f>+'C.A.F'!I10</f>
        <v>2028</v>
      </c>
      <c r="F4" s="569">
        <f>+'C.A.F'!K10</f>
        <v>2029</v>
      </c>
      <c r="G4" s="569">
        <f>+'C.A.F'!L10</f>
        <v>2030</v>
      </c>
    </row>
    <row r="5" spans="1:7" x14ac:dyDescent="0.35">
      <c r="A5" s="570" t="s">
        <v>205</v>
      </c>
      <c r="B5" s="571" t="s">
        <v>32</v>
      </c>
      <c r="C5" s="571">
        <f>+'C.A.F'!E14</f>
        <v>106030095.9040792</v>
      </c>
      <c r="D5" s="571">
        <f>+'C.A.F'!G14</f>
        <v>493028345.28702027</v>
      </c>
      <c r="E5" s="571">
        <f>+'C.A.F'!I14</f>
        <v>2378136724.3256273</v>
      </c>
      <c r="F5" s="571">
        <f>+'C.A.F'!K14</f>
        <v>11107638602.642868</v>
      </c>
      <c r="G5" s="571">
        <f>+'C.A.F'!L14</f>
        <v>51738974587.767319</v>
      </c>
    </row>
    <row r="6" spans="1:7" x14ac:dyDescent="0.35">
      <c r="A6" s="570" t="s">
        <v>398</v>
      </c>
      <c r="B6" s="571">
        <f>+C5*0.1</f>
        <v>10603009.590407921</v>
      </c>
      <c r="C6" s="571">
        <f>0.1*(D5-C5)</f>
        <v>38699824.938294105</v>
      </c>
      <c r="D6" s="571">
        <f>0.1*(E5-D5)</f>
        <v>188510837.90386072</v>
      </c>
      <c r="E6" s="571">
        <f>0.1*(F5-E5)</f>
        <v>872950187.83172417</v>
      </c>
      <c r="F6" s="571">
        <f>0.1*(G5-F5)</f>
        <v>4063133598.5124454</v>
      </c>
      <c r="G6" s="571"/>
    </row>
    <row r="7" spans="1:7" x14ac:dyDescent="0.35">
      <c r="A7" s="570" t="s">
        <v>399</v>
      </c>
      <c r="B7" s="571"/>
      <c r="C7" s="571"/>
      <c r="D7" s="571"/>
      <c r="E7" s="571"/>
      <c r="F7" s="571"/>
      <c r="G7" s="572">
        <f>+SUM(B6:F6)</f>
        <v>5173897458.7767324</v>
      </c>
    </row>
    <row r="10" spans="1:7" x14ac:dyDescent="0.35">
      <c r="A10" s="573" t="s">
        <v>402</v>
      </c>
    </row>
    <row r="11" spans="1:7" x14ac:dyDescent="0.35">
      <c r="A11" s="573" t="s">
        <v>401</v>
      </c>
    </row>
  </sheetData>
  <mergeCells count="1">
    <mergeCell ref="A1:G1"/>
  </mergeCells>
  <pageMargins left="0.7" right="0.7" top="0.75" bottom="0.75" header="0.3" footer="0.3"/>
  <pageSetup paperSize="9" scale="7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4"/>
  <sheetViews>
    <sheetView showGridLines="0" zoomScaleNormal="100" workbookViewId="0">
      <pane ySplit="1" topLeftCell="A12" activePane="bottomLeft" state="frozen"/>
      <selection pane="bottomLeft" activeCell="E15" sqref="E15:F16"/>
    </sheetView>
  </sheetViews>
  <sheetFormatPr baseColWidth="10" defaultColWidth="11.42578125" defaultRowHeight="15" x14ac:dyDescent="0.25"/>
  <cols>
    <col min="1" max="4" width="11.42578125" style="613"/>
    <col min="5" max="10" width="11.42578125" style="162"/>
    <col min="11" max="11" width="19.7109375" style="162" customWidth="1"/>
    <col min="12" max="12" width="16.7109375" style="162" customWidth="1"/>
    <col min="13" max="16384" width="11.42578125" style="162"/>
  </cols>
  <sheetData>
    <row r="1" spans="1:12" ht="24" customHeight="1" x14ac:dyDescent="0.25">
      <c r="A1" s="477" t="s">
        <v>308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</row>
    <row r="4" spans="1:12" ht="27.95" customHeight="1" x14ac:dyDescent="0.25">
      <c r="A4" s="575"/>
      <c r="B4" s="575"/>
      <c r="C4" s="575"/>
      <c r="D4" s="576"/>
      <c r="E4" s="478">
        <f>+BASE_INFORMATION!A14</f>
        <v>2026</v>
      </c>
      <c r="F4" s="479"/>
      <c r="G4" s="478">
        <f>+BASE_INFORMATION!B14</f>
        <v>2027</v>
      </c>
      <c r="H4" s="479"/>
      <c r="I4" s="478">
        <f>+BASE_INFORMATION!C14</f>
        <v>2028</v>
      </c>
      <c r="J4" s="479"/>
      <c r="K4" s="203">
        <f>+BASE_INFORMATION!D14</f>
        <v>2029</v>
      </c>
      <c r="L4" s="288">
        <f>+BASE_INFORMATION!E14</f>
        <v>2030</v>
      </c>
    </row>
    <row r="5" spans="1:12" x14ac:dyDescent="0.25">
      <c r="A5" s="577" t="s">
        <v>309</v>
      </c>
      <c r="B5" s="578"/>
      <c r="C5" s="578"/>
      <c r="D5" s="579"/>
      <c r="E5" s="480">
        <f>+'Plan_de_TRESR-annuel-PREVS'!B8</f>
        <v>106030095.9040792</v>
      </c>
      <c r="F5" s="481"/>
      <c r="G5" s="480">
        <f>+'Plan_de_TRESR-annuel-PREVS'!C9</f>
        <v>0</v>
      </c>
      <c r="H5" s="481"/>
      <c r="I5" s="480">
        <f>+'Plan_de_TRESR-annuel-PREVS'!D9</f>
        <v>0</v>
      </c>
      <c r="J5" s="481"/>
      <c r="K5" s="484">
        <f>+'Plan_de_TRESR-annuel-PREVS'!E9</f>
        <v>0</v>
      </c>
      <c r="L5" s="486">
        <f>+'Plan_de_TRESR-annuel-PREVS'!F9</f>
        <v>0</v>
      </c>
    </row>
    <row r="6" spans="1:12" x14ac:dyDescent="0.25">
      <c r="A6" s="580"/>
      <c r="B6" s="581"/>
      <c r="C6" s="581"/>
      <c r="D6" s="582"/>
      <c r="E6" s="482"/>
      <c r="F6" s="483"/>
      <c r="G6" s="482"/>
      <c r="H6" s="483"/>
      <c r="I6" s="482"/>
      <c r="J6" s="483"/>
      <c r="K6" s="485"/>
      <c r="L6" s="486"/>
    </row>
    <row r="7" spans="1:12" x14ac:dyDescent="0.25">
      <c r="A7" s="583" t="s">
        <v>310</v>
      </c>
      <c r="B7" s="584"/>
      <c r="C7" s="584"/>
      <c r="D7" s="585"/>
      <c r="E7" s="487">
        <v>0</v>
      </c>
      <c r="F7" s="488"/>
      <c r="G7" s="487">
        <v>0</v>
      </c>
      <c r="H7" s="488"/>
      <c r="I7" s="487">
        <v>0</v>
      </c>
      <c r="J7" s="488"/>
      <c r="K7" s="491">
        <v>0</v>
      </c>
      <c r="L7" s="486">
        <v>0</v>
      </c>
    </row>
    <row r="8" spans="1:12" x14ac:dyDescent="0.25">
      <c r="A8" s="586"/>
      <c r="B8" s="575"/>
      <c r="C8" s="575"/>
      <c r="D8" s="576"/>
      <c r="E8" s="489"/>
      <c r="F8" s="490"/>
      <c r="G8" s="489"/>
      <c r="H8" s="490"/>
      <c r="I8" s="489"/>
      <c r="J8" s="490"/>
      <c r="K8" s="491"/>
      <c r="L8" s="486"/>
    </row>
    <row r="9" spans="1:12" x14ac:dyDescent="0.25">
      <c r="A9" s="583" t="s">
        <v>311</v>
      </c>
      <c r="B9" s="584"/>
      <c r="C9" s="584"/>
      <c r="D9" s="585"/>
      <c r="E9" s="487">
        <f>+'Charg-annuel_EXPL-PREVSL'!B27</f>
        <v>111366402.70012695</v>
      </c>
      <c r="F9" s="488"/>
      <c r="G9" s="487">
        <f>+'Charg-annuel_EXPL-PREVSL'!C27</f>
        <v>518120093.73267955</v>
      </c>
      <c r="H9" s="488"/>
      <c r="I9" s="487">
        <f>+'Charg-annuel_EXPL-PREVSL'!D27</f>
        <v>2410497466.2098398</v>
      </c>
      <c r="J9" s="488"/>
      <c r="K9" s="486">
        <f>+'Charg-annuel_EXPL-PREVSL'!E27</f>
        <v>11214577672.028954</v>
      </c>
      <c r="L9" s="486">
        <f>+'Charg-annuel_EXPL-PREVSL'!F27</f>
        <v>52174604671.839989</v>
      </c>
    </row>
    <row r="10" spans="1:12" x14ac:dyDescent="0.25">
      <c r="A10" s="586"/>
      <c r="B10" s="575"/>
      <c r="C10" s="575"/>
      <c r="D10" s="576"/>
      <c r="E10" s="489"/>
      <c r="F10" s="490"/>
      <c r="G10" s="489"/>
      <c r="H10" s="490"/>
      <c r="I10" s="489"/>
      <c r="J10" s="490"/>
      <c r="K10" s="491"/>
      <c r="L10" s="486"/>
    </row>
    <row r="11" spans="1:12" x14ac:dyDescent="0.25">
      <c r="A11" s="587" t="s">
        <v>312</v>
      </c>
      <c r="B11" s="588"/>
      <c r="C11" s="588"/>
      <c r="D11" s="589"/>
      <c r="E11" s="492">
        <f>SUM(E7:F10)</f>
        <v>111366402.70012695</v>
      </c>
      <c r="F11" s="493"/>
      <c r="G11" s="492">
        <f>SUM(G7:H10)</f>
        <v>518120093.73267955</v>
      </c>
      <c r="H11" s="493"/>
      <c r="I11" s="492">
        <f>SUM(I7:J10)</f>
        <v>2410497466.2098398</v>
      </c>
      <c r="J11" s="493"/>
      <c r="K11" s="496">
        <f>+SUM(K7:K10)</f>
        <v>11214577672.028954</v>
      </c>
      <c r="L11" s="497">
        <f>+SUM(L7:L10)</f>
        <v>52174604671.839989</v>
      </c>
    </row>
    <row r="12" spans="1:12" x14ac:dyDescent="0.25">
      <c r="A12" s="590"/>
      <c r="B12" s="591"/>
      <c r="C12" s="591"/>
      <c r="D12" s="592"/>
      <c r="E12" s="494"/>
      <c r="F12" s="495"/>
      <c r="G12" s="494"/>
      <c r="H12" s="495"/>
      <c r="I12" s="494"/>
      <c r="J12" s="495"/>
      <c r="K12" s="496"/>
      <c r="L12" s="497"/>
    </row>
    <row r="13" spans="1:12" x14ac:dyDescent="0.25">
      <c r="A13" s="583" t="s">
        <v>313</v>
      </c>
      <c r="B13" s="584"/>
      <c r="C13" s="584"/>
      <c r="D13" s="585"/>
      <c r="E13" s="487">
        <f>E5-E7</f>
        <v>106030095.9040792</v>
      </c>
      <c r="F13" s="488"/>
      <c r="G13" s="487">
        <f>G5-G7</f>
        <v>0</v>
      </c>
      <c r="H13" s="488"/>
      <c r="I13" s="487">
        <f>I5-I7</f>
        <v>0</v>
      </c>
      <c r="J13" s="488"/>
      <c r="K13" s="486">
        <f>+K5-K7</f>
        <v>0</v>
      </c>
      <c r="L13" s="498">
        <f>+L5-L7</f>
        <v>0</v>
      </c>
    </row>
    <row r="14" spans="1:12" x14ac:dyDescent="0.25">
      <c r="A14" s="586"/>
      <c r="B14" s="575"/>
      <c r="C14" s="575"/>
      <c r="D14" s="576"/>
      <c r="E14" s="489"/>
      <c r="F14" s="490"/>
      <c r="G14" s="489"/>
      <c r="H14" s="490"/>
      <c r="I14" s="489"/>
      <c r="J14" s="490"/>
      <c r="K14" s="491"/>
      <c r="L14" s="498"/>
    </row>
    <row r="15" spans="1:12" x14ac:dyDescent="0.25">
      <c r="A15" s="583" t="s">
        <v>314</v>
      </c>
      <c r="B15" s="584"/>
      <c r="C15" s="584"/>
      <c r="D15" s="585"/>
      <c r="E15" s="499">
        <f>E13/E5</f>
        <v>1</v>
      </c>
      <c r="F15" s="500"/>
      <c r="G15" s="499" t="e">
        <f>G13/G5</f>
        <v>#DIV/0!</v>
      </c>
      <c r="H15" s="500"/>
      <c r="I15" s="499" t="e">
        <f>I13/I5</f>
        <v>#DIV/0!</v>
      </c>
      <c r="J15" s="500"/>
      <c r="K15" s="491" t="e">
        <f>+K5/K13</f>
        <v>#DIV/0!</v>
      </c>
      <c r="L15" s="486" t="e">
        <f>+L5/L13</f>
        <v>#DIV/0!</v>
      </c>
    </row>
    <row r="16" spans="1:12" x14ac:dyDescent="0.25">
      <c r="A16" s="586"/>
      <c r="B16" s="575"/>
      <c r="C16" s="575"/>
      <c r="D16" s="576"/>
      <c r="E16" s="501"/>
      <c r="F16" s="502"/>
      <c r="G16" s="501"/>
      <c r="H16" s="502"/>
      <c r="I16" s="501"/>
      <c r="J16" s="502"/>
      <c r="K16" s="491"/>
      <c r="L16" s="486"/>
    </row>
    <row r="17" spans="1:12" x14ac:dyDescent="0.25">
      <c r="A17" s="593" t="s">
        <v>315</v>
      </c>
      <c r="B17" s="594"/>
      <c r="C17" s="594"/>
      <c r="D17" s="595"/>
      <c r="E17" s="503">
        <f>E9/E15</f>
        <v>111366402.70012695</v>
      </c>
      <c r="F17" s="504"/>
      <c r="G17" s="503" t="e">
        <f>G9/G15</f>
        <v>#DIV/0!</v>
      </c>
      <c r="H17" s="504"/>
      <c r="I17" s="503" t="e">
        <f>I9/I15</f>
        <v>#DIV/0!</v>
      </c>
      <c r="J17" s="504"/>
      <c r="K17" s="503" t="e">
        <f>K9/K15</f>
        <v>#DIV/0!</v>
      </c>
      <c r="L17" s="507" t="e">
        <f>L9/L15</f>
        <v>#DIV/0!</v>
      </c>
    </row>
    <row r="18" spans="1:12" x14ac:dyDescent="0.25">
      <c r="A18" s="596"/>
      <c r="B18" s="597"/>
      <c r="C18" s="597"/>
      <c r="D18" s="598"/>
      <c r="E18" s="505"/>
      <c r="F18" s="506"/>
      <c r="G18" s="505"/>
      <c r="H18" s="506"/>
      <c r="I18" s="505"/>
      <c r="J18" s="506"/>
      <c r="K18" s="505"/>
      <c r="L18" s="507"/>
    </row>
    <row r="19" spans="1:12" x14ac:dyDescent="0.25">
      <c r="A19" s="583" t="s">
        <v>316</v>
      </c>
      <c r="B19" s="584"/>
      <c r="C19" s="584"/>
      <c r="D19" s="585"/>
      <c r="E19" s="487">
        <f>E5-E17</f>
        <v>-5336306.7960477471</v>
      </c>
      <c r="F19" s="488"/>
      <c r="G19" s="487" t="e">
        <f>G5-G17</f>
        <v>#DIV/0!</v>
      </c>
      <c r="H19" s="488"/>
      <c r="I19" s="487" t="e">
        <f>I5-I17</f>
        <v>#DIV/0!</v>
      </c>
      <c r="J19" s="488"/>
      <c r="K19" s="508" t="e">
        <f>+K5-K17</f>
        <v>#DIV/0!</v>
      </c>
      <c r="L19" s="508" t="e">
        <f>+L5-L17</f>
        <v>#DIV/0!</v>
      </c>
    </row>
    <row r="20" spans="1:12" x14ac:dyDescent="0.25">
      <c r="A20" s="586"/>
      <c r="B20" s="575"/>
      <c r="C20" s="575"/>
      <c r="D20" s="576"/>
      <c r="E20" s="489"/>
      <c r="F20" s="490"/>
      <c r="G20" s="489"/>
      <c r="H20" s="490"/>
      <c r="I20" s="489"/>
      <c r="J20" s="490"/>
      <c r="K20" s="491"/>
      <c r="L20" s="491"/>
    </row>
    <row r="21" spans="1:12" s="180" customFormat="1" ht="20.100000000000001" customHeight="1" x14ac:dyDescent="0.25">
      <c r="A21" s="599"/>
      <c r="B21" s="599"/>
      <c r="C21" s="599"/>
      <c r="D21" s="599"/>
      <c r="E21" s="179"/>
      <c r="F21" s="179"/>
      <c r="G21" s="179"/>
      <c r="H21" s="179"/>
      <c r="I21" s="179"/>
      <c r="J21" s="179"/>
    </row>
    <row r="22" spans="1:12" x14ac:dyDescent="0.25">
      <c r="A22" s="600" t="s">
        <v>317</v>
      </c>
      <c r="B22" s="601"/>
      <c r="C22" s="601"/>
      <c r="D22" s="602"/>
      <c r="E22" s="509">
        <f>E17/(E5/360)</f>
        <v>378.11816192560173</v>
      </c>
      <c r="F22" s="510"/>
      <c r="G22" s="509" t="e">
        <f>G17/(G5/360)</f>
        <v>#DIV/0!</v>
      </c>
      <c r="H22" s="510"/>
      <c r="I22" s="509" t="e">
        <f>I17/(I5/360)</f>
        <v>#DIV/0!</v>
      </c>
      <c r="J22" s="510"/>
      <c r="K22" s="513" t="e">
        <f>K17/(K5/360)</f>
        <v>#DIV/0!</v>
      </c>
      <c r="L22" s="513" t="e">
        <f>L17/(L5/360)</f>
        <v>#DIV/0!</v>
      </c>
    </row>
    <row r="23" spans="1:12" x14ac:dyDescent="0.25">
      <c r="A23" s="603"/>
      <c r="B23" s="604"/>
      <c r="C23" s="604"/>
      <c r="D23" s="605"/>
      <c r="E23" s="511"/>
      <c r="F23" s="512"/>
      <c r="G23" s="511"/>
      <c r="H23" s="512"/>
      <c r="I23" s="511"/>
      <c r="J23" s="512"/>
      <c r="K23" s="513"/>
      <c r="L23" s="513"/>
    </row>
    <row r="24" spans="1:12" x14ac:dyDescent="0.25">
      <c r="A24" s="600" t="s">
        <v>318</v>
      </c>
      <c r="B24" s="601"/>
      <c r="C24" s="601"/>
      <c r="D24" s="602"/>
      <c r="E24" s="509">
        <f>E22/30</f>
        <v>12.603938730853391</v>
      </c>
      <c r="F24" s="510"/>
      <c r="G24" s="509" t="e">
        <f>G22/30</f>
        <v>#DIV/0!</v>
      </c>
      <c r="H24" s="510"/>
      <c r="I24" s="509" t="e">
        <f>I22/30</f>
        <v>#DIV/0!</v>
      </c>
      <c r="J24" s="510"/>
      <c r="K24" s="513" t="e">
        <f>K22/30</f>
        <v>#DIV/0!</v>
      </c>
      <c r="L24" s="513" t="e">
        <f>L22/30</f>
        <v>#DIV/0!</v>
      </c>
    </row>
    <row r="25" spans="1:12" x14ac:dyDescent="0.25">
      <c r="A25" s="603"/>
      <c r="B25" s="604"/>
      <c r="C25" s="604"/>
      <c r="D25" s="605"/>
      <c r="E25" s="511"/>
      <c r="F25" s="512"/>
      <c r="G25" s="511"/>
      <c r="H25" s="512"/>
      <c r="I25" s="511"/>
      <c r="J25" s="512"/>
      <c r="K25" s="513"/>
      <c r="L25" s="513"/>
    </row>
    <row r="26" spans="1:12" s="181" customFormat="1" ht="24" customHeight="1" x14ac:dyDescent="0.25">
      <c r="A26" s="606"/>
      <c r="B26" s="606"/>
      <c r="C26" s="606"/>
      <c r="D26" s="606"/>
      <c r="E26" s="182"/>
      <c r="F26" s="182"/>
      <c r="G26" s="182"/>
      <c r="H26" s="182"/>
      <c r="I26" s="182"/>
      <c r="J26" s="182"/>
    </row>
    <row r="27" spans="1:12" x14ac:dyDescent="0.25">
      <c r="A27" s="607" t="s">
        <v>319</v>
      </c>
      <c r="B27" s="608"/>
      <c r="C27" s="608"/>
      <c r="D27" s="609"/>
      <c r="E27" s="514">
        <f>E17</f>
        <v>111366402.70012695</v>
      </c>
      <c r="F27" s="515"/>
      <c r="G27" s="514" t="e">
        <f>G17</f>
        <v>#DIV/0!</v>
      </c>
      <c r="H27" s="515"/>
      <c r="I27" s="514" t="e">
        <f>I17</f>
        <v>#DIV/0!</v>
      </c>
      <c r="J27" s="515"/>
      <c r="K27" s="518" t="e">
        <f>+K17</f>
        <v>#DIV/0!</v>
      </c>
      <c r="L27" s="518" t="e">
        <f>+L17</f>
        <v>#DIV/0!</v>
      </c>
    </row>
    <row r="28" spans="1:12" x14ac:dyDescent="0.25">
      <c r="A28" s="610"/>
      <c r="B28" s="611"/>
      <c r="C28" s="611"/>
      <c r="D28" s="612"/>
      <c r="E28" s="516"/>
      <c r="F28" s="517"/>
      <c r="G28" s="516"/>
      <c r="H28" s="517"/>
      <c r="I28" s="516"/>
      <c r="J28" s="517"/>
      <c r="K28" s="513"/>
      <c r="L28" s="513"/>
    </row>
    <row r="29" spans="1:12" x14ac:dyDescent="0.25">
      <c r="A29" s="607" t="s">
        <v>320</v>
      </c>
      <c r="B29" s="608"/>
      <c r="C29" s="608"/>
      <c r="D29" s="609"/>
      <c r="E29" s="514">
        <f>E27/12</f>
        <v>9280533.5583439115</v>
      </c>
      <c r="F29" s="515"/>
      <c r="G29" s="514" t="e">
        <f>G27/12</f>
        <v>#DIV/0!</v>
      </c>
      <c r="H29" s="515"/>
      <c r="I29" s="514" t="e">
        <f>I27/12</f>
        <v>#DIV/0!</v>
      </c>
      <c r="J29" s="515"/>
      <c r="K29" s="519" t="e">
        <f>K27/12</f>
        <v>#DIV/0!</v>
      </c>
      <c r="L29" s="519" t="e">
        <f>L27/12</f>
        <v>#DIV/0!</v>
      </c>
    </row>
    <row r="30" spans="1:12" x14ac:dyDescent="0.25">
      <c r="A30" s="610"/>
      <c r="B30" s="611"/>
      <c r="C30" s="611"/>
      <c r="D30" s="612"/>
      <c r="E30" s="516"/>
      <c r="F30" s="517"/>
      <c r="G30" s="516"/>
      <c r="H30" s="517"/>
      <c r="I30" s="516"/>
      <c r="J30" s="517"/>
      <c r="K30" s="519"/>
      <c r="L30" s="519"/>
    </row>
    <row r="31" spans="1:12" x14ac:dyDescent="0.25">
      <c r="A31" s="607" t="s">
        <v>321</v>
      </c>
      <c r="B31" s="608"/>
      <c r="C31" s="608"/>
      <c r="D31" s="609"/>
      <c r="E31" s="514">
        <f>E29/4</f>
        <v>2320133.3895859779</v>
      </c>
      <c r="F31" s="515"/>
      <c r="G31" s="514" t="e">
        <f>G29/4</f>
        <v>#DIV/0!</v>
      </c>
      <c r="H31" s="515"/>
      <c r="I31" s="514" t="e">
        <f>I29/4</f>
        <v>#DIV/0!</v>
      </c>
      <c r="J31" s="515"/>
      <c r="K31" s="513" t="e">
        <f>K29/4</f>
        <v>#DIV/0!</v>
      </c>
      <c r="L31" s="513" t="e">
        <f>L29/4</f>
        <v>#DIV/0!</v>
      </c>
    </row>
    <row r="32" spans="1:12" x14ac:dyDescent="0.25">
      <c r="A32" s="610"/>
      <c r="B32" s="611"/>
      <c r="C32" s="611"/>
      <c r="D32" s="612"/>
      <c r="E32" s="516"/>
      <c r="F32" s="517"/>
      <c r="G32" s="516"/>
      <c r="H32" s="517"/>
      <c r="I32" s="516"/>
      <c r="J32" s="517"/>
      <c r="K32" s="513"/>
      <c r="L32" s="513"/>
    </row>
    <row r="33" spans="1:12" x14ac:dyDescent="0.25">
      <c r="A33" s="607" t="s">
        <v>322</v>
      </c>
      <c r="B33" s="608"/>
      <c r="C33" s="608"/>
      <c r="D33" s="609"/>
      <c r="E33" s="514">
        <f>E31/6</f>
        <v>386688.89826432965</v>
      </c>
      <c r="F33" s="515"/>
      <c r="G33" s="514" t="e">
        <f>G31/6</f>
        <v>#DIV/0!</v>
      </c>
      <c r="H33" s="515"/>
      <c r="I33" s="514" t="e">
        <f>I31/6</f>
        <v>#DIV/0!</v>
      </c>
      <c r="J33" s="515"/>
      <c r="K33" s="513" t="e">
        <f>K31/6</f>
        <v>#DIV/0!</v>
      </c>
      <c r="L33" s="513" t="e">
        <f>L31/6</f>
        <v>#DIV/0!</v>
      </c>
    </row>
    <row r="34" spans="1:12" x14ac:dyDescent="0.25">
      <c r="A34" s="610"/>
      <c r="B34" s="611"/>
      <c r="C34" s="611"/>
      <c r="D34" s="612"/>
      <c r="E34" s="516"/>
      <c r="F34" s="517"/>
      <c r="G34" s="516"/>
      <c r="H34" s="517"/>
      <c r="I34" s="516"/>
      <c r="J34" s="517"/>
      <c r="K34" s="513"/>
      <c r="L34" s="513"/>
    </row>
  </sheetData>
  <mergeCells count="89">
    <mergeCell ref="L31:L32"/>
    <mergeCell ref="A33:D34"/>
    <mergeCell ref="E33:F34"/>
    <mergeCell ref="G33:H34"/>
    <mergeCell ref="I33:J34"/>
    <mergeCell ref="K33:K34"/>
    <mergeCell ref="L33:L34"/>
    <mergeCell ref="A31:D32"/>
    <mergeCell ref="E31:F32"/>
    <mergeCell ref="G31:H32"/>
    <mergeCell ref="I31:J32"/>
    <mergeCell ref="K31:K32"/>
    <mergeCell ref="L27:L28"/>
    <mergeCell ref="A29:D30"/>
    <mergeCell ref="E29:F30"/>
    <mergeCell ref="G29:H30"/>
    <mergeCell ref="I29:J30"/>
    <mergeCell ref="K29:K30"/>
    <mergeCell ref="L29:L30"/>
    <mergeCell ref="A27:D28"/>
    <mergeCell ref="E27:F28"/>
    <mergeCell ref="G27:H28"/>
    <mergeCell ref="I27:J28"/>
    <mergeCell ref="K27:K28"/>
    <mergeCell ref="L22:L23"/>
    <mergeCell ref="A24:D25"/>
    <mergeCell ref="E24:F25"/>
    <mergeCell ref="G24:H25"/>
    <mergeCell ref="I24:J25"/>
    <mergeCell ref="K24:K25"/>
    <mergeCell ref="L24:L25"/>
    <mergeCell ref="A22:D23"/>
    <mergeCell ref="E22:F23"/>
    <mergeCell ref="G22:H23"/>
    <mergeCell ref="I22:J23"/>
    <mergeCell ref="K22:K23"/>
    <mergeCell ref="L17:L18"/>
    <mergeCell ref="A19:D20"/>
    <mergeCell ref="E19:F20"/>
    <mergeCell ref="G19:H20"/>
    <mergeCell ref="I19:J20"/>
    <mergeCell ref="K19:K20"/>
    <mergeCell ref="L19:L20"/>
    <mergeCell ref="A17:D18"/>
    <mergeCell ref="E17:F18"/>
    <mergeCell ref="G17:H18"/>
    <mergeCell ref="I17:J18"/>
    <mergeCell ref="K17:K18"/>
    <mergeCell ref="L13:L14"/>
    <mergeCell ref="A15:D16"/>
    <mergeCell ref="E15:F16"/>
    <mergeCell ref="G15:H16"/>
    <mergeCell ref="I15:J16"/>
    <mergeCell ref="K15:K16"/>
    <mergeCell ref="L15:L16"/>
    <mergeCell ref="A13:D14"/>
    <mergeCell ref="E13:F14"/>
    <mergeCell ref="G13:H14"/>
    <mergeCell ref="I13:J14"/>
    <mergeCell ref="K13:K14"/>
    <mergeCell ref="L9:L10"/>
    <mergeCell ref="A11:D12"/>
    <mergeCell ref="E11:F12"/>
    <mergeCell ref="G11:H12"/>
    <mergeCell ref="I11:J12"/>
    <mergeCell ref="K11:K12"/>
    <mergeCell ref="L11:L12"/>
    <mergeCell ref="A9:D10"/>
    <mergeCell ref="E9:F10"/>
    <mergeCell ref="G9:H10"/>
    <mergeCell ref="I9:J10"/>
    <mergeCell ref="K9:K10"/>
    <mergeCell ref="L5:L6"/>
    <mergeCell ref="A7:D8"/>
    <mergeCell ref="E7:F8"/>
    <mergeCell ref="G7:H8"/>
    <mergeCell ref="I7:J8"/>
    <mergeCell ref="K7:K8"/>
    <mergeCell ref="L7:L8"/>
    <mergeCell ref="A5:D6"/>
    <mergeCell ref="E5:F6"/>
    <mergeCell ref="G5:H6"/>
    <mergeCell ref="I5:J6"/>
    <mergeCell ref="K5:K6"/>
    <mergeCell ref="A1:L1"/>
    <mergeCell ref="A4:D4"/>
    <mergeCell ref="E4:F4"/>
    <mergeCell ref="G4:H4"/>
    <mergeCell ref="I4:J4"/>
  </mergeCells>
  <pageMargins left="0.70866141732283472" right="0.70866141732283472" top="0.74803149606299213" bottom="0.74803149606299213" header="0.31496062992125984" footer="0.31496062992125984"/>
  <pageSetup scale="59" orientation="portrait" horizontalDpi="4294967294" r:id="rId1"/>
  <headerFooter>
    <oddFooter>&amp;C19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D17"/>
  <sheetViews>
    <sheetView showGridLines="0" view="pageBreakPreview" zoomScaleNormal="100" zoomScaleSheetLayoutView="100" workbookViewId="0"/>
  </sheetViews>
  <sheetFormatPr baseColWidth="10" defaultRowHeight="15" x14ac:dyDescent="0.25"/>
  <cols>
    <col min="1" max="1" width="11.42578125" customWidth="1"/>
  </cols>
  <sheetData>
    <row r="16" spans="1:4" x14ac:dyDescent="0.25">
      <c r="A16" s="520" t="s">
        <v>245</v>
      </c>
      <c r="B16" s="520"/>
      <c r="C16" s="520"/>
      <c r="D16" s="520"/>
    </row>
    <row r="17" spans="1:4" x14ac:dyDescent="0.25">
      <c r="A17" s="520"/>
      <c r="B17" s="520"/>
      <c r="C17" s="520"/>
      <c r="D17" s="520"/>
    </row>
  </sheetData>
  <mergeCells count="1">
    <mergeCell ref="A16:D17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D16"/>
  <sheetViews>
    <sheetView showGridLines="0" view="pageBreakPreview" zoomScaleNormal="100" zoomScaleSheetLayoutView="100" workbookViewId="0"/>
  </sheetViews>
  <sheetFormatPr baseColWidth="10" defaultRowHeight="15" x14ac:dyDescent="0.25"/>
  <cols>
    <col min="1" max="1" width="11.42578125" customWidth="1"/>
  </cols>
  <sheetData>
    <row r="15" spans="1:4" x14ac:dyDescent="0.25">
      <c r="A15" s="521" t="s">
        <v>246</v>
      </c>
      <c r="B15" s="521"/>
      <c r="C15" s="521"/>
      <c r="D15" s="521"/>
    </row>
    <row r="16" spans="1:4" x14ac:dyDescent="0.25">
      <c r="A16" s="521"/>
      <c r="B16" s="521"/>
      <c r="C16" s="521"/>
      <c r="D16" s="521"/>
    </row>
  </sheetData>
  <mergeCells count="1">
    <mergeCell ref="A15:D16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D16"/>
  <sheetViews>
    <sheetView showGridLines="0" view="pageBreakPreview" zoomScale="98" zoomScaleNormal="100" zoomScaleSheetLayoutView="98" workbookViewId="0"/>
  </sheetViews>
  <sheetFormatPr baseColWidth="10" defaultRowHeight="15" x14ac:dyDescent="0.25"/>
  <cols>
    <col min="1" max="1" width="30.85546875" customWidth="1"/>
    <col min="2" max="2" width="11.42578125" customWidth="1"/>
  </cols>
  <sheetData>
    <row r="14" spans="2:4" x14ac:dyDescent="0.25">
      <c r="B14" s="522" t="s">
        <v>244</v>
      </c>
      <c r="C14" s="522"/>
      <c r="D14" s="522"/>
    </row>
    <row r="15" spans="2:4" x14ac:dyDescent="0.25">
      <c r="B15" s="522"/>
      <c r="C15" s="522"/>
      <c r="D15" s="522"/>
    </row>
    <row r="16" spans="2:4" x14ac:dyDescent="0.25">
      <c r="B16" s="522"/>
      <c r="C16" s="522"/>
      <c r="D16" s="522"/>
    </row>
  </sheetData>
  <mergeCells count="1">
    <mergeCell ref="B14:D16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D18"/>
  <sheetViews>
    <sheetView showGridLines="0" view="pageBreakPreview" zoomScaleNormal="100" zoomScaleSheetLayoutView="100" workbookViewId="0"/>
  </sheetViews>
  <sheetFormatPr baseColWidth="10" defaultRowHeight="15" x14ac:dyDescent="0.25"/>
  <cols>
    <col min="1" max="1" width="11.42578125" customWidth="1"/>
  </cols>
  <sheetData>
    <row r="17" spans="1:4" x14ac:dyDescent="0.25">
      <c r="A17" s="523" t="s">
        <v>247</v>
      </c>
      <c r="B17" s="523"/>
      <c r="C17" s="523"/>
      <c r="D17" s="523"/>
    </row>
    <row r="18" spans="1:4" x14ac:dyDescent="0.25">
      <c r="A18" s="523"/>
      <c r="B18" s="523"/>
      <c r="C18" s="523"/>
      <c r="D18" s="523"/>
    </row>
  </sheetData>
  <mergeCells count="1">
    <mergeCell ref="A17:D18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E17"/>
  <sheetViews>
    <sheetView showGridLines="0" view="pageBreakPreview" zoomScale="112" zoomScaleNormal="100" zoomScaleSheetLayoutView="112" workbookViewId="0"/>
  </sheetViews>
  <sheetFormatPr baseColWidth="10" defaultRowHeight="15" x14ac:dyDescent="0.25"/>
  <cols>
    <col min="1" max="1" width="11.42578125" customWidth="1"/>
  </cols>
  <sheetData>
    <row r="16" spans="1:5" x14ac:dyDescent="0.25">
      <c r="A16" s="524" t="s">
        <v>252</v>
      </c>
      <c r="B16" s="524"/>
      <c r="C16" s="524"/>
      <c r="D16" s="524"/>
      <c r="E16" s="524"/>
    </row>
    <row r="17" spans="1:5" x14ac:dyDescent="0.25">
      <c r="A17" s="524"/>
      <c r="B17" s="524"/>
      <c r="C17" s="524"/>
      <c r="D17" s="524"/>
      <c r="E17" s="524"/>
    </row>
  </sheetData>
  <mergeCells count="1">
    <mergeCell ref="A16:E17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/>
  </sheetViews>
  <sheetFormatPr baseColWidth="10" defaultRowHeight="15" x14ac:dyDescent="0.25"/>
  <cols>
    <col min="1" max="1" width="11.28515625" customWidth="1"/>
    <col min="2" max="2" width="20.140625" customWidth="1"/>
    <col min="3" max="3" width="26.7109375" customWidth="1"/>
    <col min="4" max="4" width="20.42578125" customWidth="1"/>
    <col min="5" max="5" width="20.5703125" customWidth="1"/>
    <col min="6" max="6" width="20.7109375" customWidth="1"/>
    <col min="7" max="7" width="11.42578125" customWidth="1"/>
  </cols>
  <sheetData>
    <row r="1" spans="1:6" ht="30.95" customHeight="1" x14ac:dyDescent="0.25">
      <c r="A1" s="335" t="s">
        <v>25</v>
      </c>
      <c r="B1" s="335"/>
      <c r="C1" s="335"/>
      <c r="D1" s="335"/>
      <c r="E1" s="335"/>
      <c r="F1" s="335"/>
    </row>
    <row r="2" spans="1:6" ht="36" customHeight="1" x14ac:dyDescent="0.25">
      <c r="A2" s="20"/>
      <c r="B2" s="20"/>
      <c r="C2" s="21" t="s">
        <v>26</v>
      </c>
      <c r="D2" s="22">
        <v>12</v>
      </c>
      <c r="E2" s="23" t="s">
        <v>27</v>
      </c>
      <c r="F2" s="24">
        <f>+'TABL-AMORT-EMPR_-3ans_'!F2</f>
        <v>0.08</v>
      </c>
    </row>
    <row r="3" spans="1:6" ht="24.95" customHeight="1" x14ac:dyDescent="0.25">
      <c r="A3" s="25" t="s">
        <v>28</v>
      </c>
      <c r="B3" s="26" t="s">
        <v>29</v>
      </c>
      <c r="C3" s="25" t="s">
        <v>30</v>
      </c>
      <c r="D3" s="25" t="s">
        <v>21</v>
      </c>
      <c r="E3" s="25" t="s">
        <v>22</v>
      </c>
      <c r="F3" s="25" t="s">
        <v>31</v>
      </c>
    </row>
    <row r="4" spans="1:6" ht="18" customHeight="1" x14ac:dyDescent="0.25">
      <c r="A4" s="336" t="s">
        <v>24</v>
      </c>
      <c r="B4" s="336"/>
      <c r="C4" s="121">
        <f>+'TABL-AMORT-EMPR_-3ans_'!C4</f>
        <v>10000000</v>
      </c>
      <c r="D4" s="122" t="s">
        <v>32</v>
      </c>
      <c r="E4" s="123" t="s">
        <v>32</v>
      </c>
      <c r="F4" s="124" t="s">
        <v>32</v>
      </c>
    </row>
    <row r="5" spans="1:6" ht="18" customHeight="1" x14ac:dyDescent="0.25">
      <c r="A5" s="337">
        <f>+'TABl-Amort-Annuel-Emprt'!A6</f>
        <v>2026</v>
      </c>
      <c r="B5" s="29" t="s">
        <v>33</v>
      </c>
      <c r="C5" s="125">
        <f>+C4</f>
        <v>10000000</v>
      </c>
      <c r="D5" s="122">
        <f t="shared" ref="D5:D16" si="0">$C$4/$D$2</f>
        <v>833333.33333333337</v>
      </c>
      <c r="E5" s="126">
        <f t="shared" ref="E5:E16" si="1">+C5*$F$2/12</f>
        <v>66666.666666666672</v>
      </c>
      <c r="F5" s="127">
        <f t="shared" ref="F5:F16" si="2">+D5+E5</f>
        <v>900000</v>
      </c>
    </row>
    <row r="6" spans="1:6" ht="18" customHeight="1" x14ac:dyDescent="0.25">
      <c r="A6" s="337"/>
      <c r="B6" s="29" t="s">
        <v>34</v>
      </c>
      <c r="C6" s="125">
        <f t="shared" ref="C6:C16" si="3">C5-D5</f>
        <v>9166666.666666666</v>
      </c>
      <c r="D6" s="122">
        <f t="shared" si="0"/>
        <v>833333.33333333337</v>
      </c>
      <c r="E6" s="126">
        <f t="shared" si="1"/>
        <v>61111.111111111102</v>
      </c>
      <c r="F6" s="127">
        <f t="shared" si="2"/>
        <v>894444.4444444445</v>
      </c>
    </row>
    <row r="7" spans="1:6" ht="21.95" customHeight="1" x14ac:dyDescent="0.25">
      <c r="A7" s="337"/>
      <c r="B7" s="29" t="s">
        <v>35</v>
      </c>
      <c r="C7" s="125">
        <f t="shared" si="3"/>
        <v>8333333.333333333</v>
      </c>
      <c r="D7" s="122">
        <f t="shared" si="0"/>
        <v>833333.33333333337</v>
      </c>
      <c r="E7" s="126">
        <f t="shared" si="1"/>
        <v>55555.555555555555</v>
      </c>
      <c r="F7" s="127">
        <f t="shared" si="2"/>
        <v>888888.88888888888</v>
      </c>
    </row>
    <row r="8" spans="1:6" ht="15" customHeight="1" x14ac:dyDescent="0.25">
      <c r="A8" s="337"/>
      <c r="B8" s="29" t="s">
        <v>36</v>
      </c>
      <c r="C8" s="125">
        <f t="shared" si="3"/>
        <v>7500000</v>
      </c>
      <c r="D8" s="122">
        <f t="shared" si="0"/>
        <v>833333.33333333337</v>
      </c>
      <c r="E8" s="126">
        <f t="shared" si="1"/>
        <v>50000</v>
      </c>
      <c r="F8" s="127">
        <f t="shared" si="2"/>
        <v>883333.33333333337</v>
      </c>
    </row>
    <row r="9" spans="1:6" ht="18.95" customHeight="1" x14ac:dyDescent="0.25">
      <c r="A9" s="337"/>
      <c r="B9" s="29" t="s">
        <v>37</v>
      </c>
      <c r="C9" s="125">
        <f t="shared" si="3"/>
        <v>6666666.666666667</v>
      </c>
      <c r="D9" s="122">
        <f t="shared" si="0"/>
        <v>833333.33333333337</v>
      </c>
      <c r="E9" s="126">
        <f t="shared" si="1"/>
        <v>44444.444444444445</v>
      </c>
      <c r="F9" s="127">
        <f t="shared" si="2"/>
        <v>877777.77777777787</v>
      </c>
    </row>
    <row r="10" spans="1:6" ht="18" customHeight="1" x14ac:dyDescent="0.25">
      <c r="A10" s="337"/>
      <c r="B10" s="29" t="s">
        <v>38</v>
      </c>
      <c r="C10" s="125">
        <f t="shared" si="3"/>
        <v>5833333.333333334</v>
      </c>
      <c r="D10" s="122">
        <f t="shared" si="0"/>
        <v>833333.33333333337</v>
      </c>
      <c r="E10" s="126">
        <f t="shared" si="1"/>
        <v>38888.888888888898</v>
      </c>
      <c r="F10" s="127">
        <f t="shared" si="2"/>
        <v>872222.22222222225</v>
      </c>
    </row>
    <row r="11" spans="1:6" ht="17.100000000000001" customHeight="1" x14ac:dyDescent="0.25">
      <c r="A11" s="337"/>
      <c r="B11" s="29" t="s">
        <v>39</v>
      </c>
      <c r="C11" s="125">
        <f t="shared" si="3"/>
        <v>5000000.0000000009</v>
      </c>
      <c r="D11" s="122">
        <f t="shared" si="0"/>
        <v>833333.33333333337</v>
      </c>
      <c r="E11" s="126">
        <f t="shared" si="1"/>
        <v>33333.333333333336</v>
      </c>
      <c r="F11" s="127">
        <f t="shared" si="2"/>
        <v>866666.66666666674</v>
      </c>
    </row>
    <row r="12" spans="1:6" ht="18" customHeight="1" x14ac:dyDescent="0.25">
      <c r="A12" s="337"/>
      <c r="B12" s="29" t="s">
        <v>40</v>
      </c>
      <c r="C12" s="125">
        <f t="shared" si="3"/>
        <v>4166666.6666666674</v>
      </c>
      <c r="D12" s="122">
        <f t="shared" si="0"/>
        <v>833333.33333333337</v>
      </c>
      <c r="E12" s="126">
        <f t="shared" si="1"/>
        <v>27777.777777777785</v>
      </c>
      <c r="F12" s="127">
        <f t="shared" si="2"/>
        <v>861111.11111111112</v>
      </c>
    </row>
    <row r="13" spans="1:6" ht="15.95" customHeight="1" x14ac:dyDescent="0.25">
      <c r="A13" s="337"/>
      <c r="B13" s="29" t="s">
        <v>41</v>
      </c>
      <c r="C13" s="125">
        <f t="shared" si="3"/>
        <v>3333333.333333334</v>
      </c>
      <c r="D13" s="122">
        <f t="shared" si="0"/>
        <v>833333.33333333337</v>
      </c>
      <c r="E13" s="126">
        <f t="shared" si="1"/>
        <v>22222.22222222223</v>
      </c>
      <c r="F13" s="127">
        <f t="shared" si="2"/>
        <v>855555.55555555562</v>
      </c>
    </row>
    <row r="14" spans="1:6" ht="17.100000000000001" customHeight="1" x14ac:dyDescent="0.25">
      <c r="A14" s="337"/>
      <c r="B14" s="29" t="s">
        <v>42</v>
      </c>
      <c r="C14" s="125">
        <f t="shared" si="3"/>
        <v>2500000.0000000005</v>
      </c>
      <c r="D14" s="122">
        <f t="shared" si="0"/>
        <v>833333.33333333337</v>
      </c>
      <c r="E14" s="126">
        <f t="shared" si="1"/>
        <v>16666.666666666668</v>
      </c>
      <c r="F14" s="127">
        <f t="shared" si="2"/>
        <v>850000</v>
      </c>
    </row>
    <row r="15" spans="1:6" ht="15.95" customHeight="1" x14ac:dyDescent="0.25">
      <c r="A15" s="337"/>
      <c r="B15" s="29" t="s">
        <v>43</v>
      </c>
      <c r="C15" s="125">
        <f t="shared" si="3"/>
        <v>1666666.666666667</v>
      </c>
      <c r="D15" s="122">
        <f t="shared" si="0"/>
        <v>833333.33333333337</v>
      </c>
      <c r="E15" s="126">
        <f t="shared" si="1"/>
        <v>11111.111111111115</v>
      </c>
      <c r="F15" s="127">
        <f t="shared" si="2"/>
        <v>844444.4444444445</v>
      </c>
    </row>
    <row r="16" spans="1:6" ht="17.100000000000001" customHeight="1" x14ac:dyDescent="0.25">
      <c r="A16" s="337"/>
      <c r="B16" s="30" t="s">
        <v>44</v>
      </c>
      <c r="C16" s="128">
        <f t="shared" si="3"/>
        <v>833333.3333333336</v>
      </c>
      <c r="D16" s="122">
        <f t="shared" si="0"/>
        <v>833333.33333333337</v>
      </c>
      <c r="E16" s="126">
        <f t="shared" si="1"/>
        <v>5555.5555555555575</v>
      </c>
      <c r="F16" s="129">
        <f t="shared" si="2"/>
        <v>838888.88888888888</v>
      </c>
    </row>
    <row r="17" spans="1:6" ht="21" customHeight="1" x14ac:dyDescent="0.25">
      <c r="A17" s="338" t="s">
        <v>24</v>
      </c>
      <c r="B17" s="338"/>
      <c r="C17" s="130">
        <f>+C16</f>
        <v>833333.3333333336</v>
      </c>
      <c r="D17" s="131">
        <f>SUM(D5:D16)</f>
        <v>10000000</v>
      </c>
      <c r="E17" s="131">
        <f>SUM(E5:E16)</f>
        <v>433333.33333333343</v>
      </c>
      <c r="F17" s="132">
        <f>SUM(F4:F16)</f>
        <v>10433333.333333332</v>
      </c>
    </row>
    <row r="18" spans="1:6" ht="36" customHeight="1" x14ac:dyDescent="0.25">
      <c r="A18" s="342" t="s">
        <v>45</v>
      </c>
      <c r="B18" s="342"/>
      <c r="C18" s="342"/>
      <c r="D18" s="38">
        <f>+D17</f>
        <v>10000000</v>
      </c>
      <c r="E18" s="39">
        <f>+E17</f>
        <v>433333.33333333343</v>
      </c>
      <c r="F18" s="40">
        <f>+D18+E18</f>
        <v>10433333.333333334</v>
      </c>
    </row>
  </sheetData>
  <mergeCells count="5">
    <mergeCell ref="A1:F1"/>
    <mergeCell ref="A4:B4"/>
    <mergeCell ref="A5:A16"/>
    <mergeCell ref="A17:B17"/>
    <mergeCell ref="A18:C18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workbookViewId="0"/>
  </sheetViews>
  <sheetFormatPr baseColWidth="10" defaultRowHeight="15" x14ac:dyDescent="0.25"/>
  <cols>
    <col min="1" max="1" width="11.28515625" customWidth="1"/>
    <col min="2" max="2" width="20.140625" customWidth="1"/>
    <col min="3" max="3" width="26.7109375" customWidth="1"/>
    <col min="4" max="4" width="20.42578125" customWidth="1"/>
    <col min="5" max="5" width="20.5703125" customWidth="1"/>
    <col min="6" max="6" width="20.7109375" customWidth="1"/>
    <col min="7" max="7" width="11.42578125" customWidth="1"/>
  </cols>
  <sheetData>
    <row r="1" spans="1:6" ht="30.95" customHeight="1" x14ac:dyDescent="0.25">
      <c r="A1" s="335" t="s">
        <v>25</v>
      </c>
      <c r="B1" s="335"/>
      <c r="C1" s="335"/>
      <c r="D1" s="335"/>
      <c r="E1" s="335"/>
      <c r="F1" s="335"/>
    </row>
    <row r="2" spans="1:6" ht="36" customHeight="1" x14ac:dyDescent="0.25">
      <c r="A2" s="20"/>
      <c r="B2" s="20"/>
      <c r="C2" s="21" t="s">
        <v>26</v>
      </c>
      <c r="D2" s="22">
        <v>36</v>
      </c>
      <c r="E2" s="23" t="s">
        <v>27</v>
      </c>
      <c r="F2" s="24">
        <f>+'TABL-AMORT-EMPR_-5ans'!F2</f>
        <v>0.08</v>
      </c>
    </row>
    <row r="3" spans="1:6" ht="24.95" customHeight="1" x14ac:dyDescent="0.25">
      <c r="A3" s="25" t="s">
        <v>28</v>
      </c>
      <c r="B3" s="26" t="s">
        <v>29</v>
      </c>
      <c r="C3" s="25" t="s">
        <v>30</v>
      </c>
      <c r="D3" s="25" t="s">
        <v>21</v>
      </c>
      <c r="E3" s="25" t="s">
        <v>22</v>
      </c>
      <c r="F3" s="25" t="s">
        <v>31</v>
      </c>
    </row>
    <row r="4" spans="1:6" ht="18" customHeight="1" x14ac:dyDescent="0.25">
      <c r="A4" s="336" t="s">
        <v>24</v>
      </c>
      <c r="B4" s="336"/>
      <c r="C4" s="121">
        <f>+'TABL-AMORT-EMPR_-5ans'!C4</f>
        <v>10000000</v>
      </c>
      <c r="D4" s="122" t="s">
        <v>32</v>
      </c>
      <c r="E4" s="123" t="s">
        <v>32</v>
      </c>
      <c r="F4" s="124" t="s">
        <v>32</v>
      </c>
    </row>
    <row r="5" spans="1:6" ht="18" customHeight="1" x14ac:dyDescent="0.25">
      <c r="A5" s="337">
        <f>+'TABl-Amort-Annuel-Emprt'!A6</f>
        <v>2026</v>
      </c>
      <c r="B5" s="29" t="s">
        <v>33</v>
      </c>
      <c r="C5" s="125">
        <f>+C4</f>
        <v>10000000</v>
      </c>
      <c r="D5" s="122">
        <f t="shared" ref="D5:D16" si="0">$C$4/$D$2</f>
        <v>277777.77777777775</v>
      </c>
      <c r="E5" s="126">
        <f t="shared" ref="E5:E16" si="1">+C5*$F$2/12</f>
        <v>66666.666666666672</v>
      </c>
      <c r="F5" s="127">
        <f t="shared" ref="F5:F16" si="2">+D5+E5</f>
        <v>344444.44444444444</v>
      </c>
    </row>
    <row r="6" spans="1:6" ht="18" customHeight="1" x14ac:dyDescent="0.25">
      <c r="A6" s="337"/>
      <c r="B6" s="29" t="s">
        <v>34</v>
      </c>
      <c r="C6" s="125">
        <f t="shared" ref="C6:C16" si="3">C5-D5</f>
        <v>9722222.222222222</v>
      </c>
      <c r="D6" s="122">
        <f t="shared" si="0"/>
        <v>277777.77777777775</v>
      </c>
      <c r="E6" s="126">
        <f t="shared" si="1"/>
        <v>64814.81481481481</v>
      </c>
      <c r="F6" s="127">
        <f t="shared" si="2"/>
        <v>342592.59259259258</v>
      </c>
    </row>
    <row r="7" spans="1:6" ht="21.95" customHeight="1" x14ac:dyDescent="0.25">
      <c r="A7" s="337"/>
      <c r="B7" s="29" t="s">
        <v>35</v>
      </c>
      <c r="C7" s="125">
        <f t="shared" si="3"/>
        <v>9444444.444444444</v>
      </c>
      <c r="D7" s="122">
        <f t="shared" si="0"/>
        <v>277777.77777777775</v>
      </c>
      <c r="E7" s="126">
        <f t="shared" si="1"/>
        <v>62962.962962962956</v>
      </c>
      <c r="F7" s="127">
        <f t="shared" si="2"/>
        <v>340740.74074074073</v>
      </c>
    </row>
    <row r="8" spans="1:6" ht="15" customHeight="1" x14ac:dyDescent="0.25">
      <c r="A8" s="337"/>
      <c r="B8" s="29" t="s">
        <v>36</v>
      </c>
      <c r="C8" s="125">
        <f t="shared" si="3"/>
        <v>9166666.666666666</v>
      </c>
      <c r="D8" s="122">
        <f t="shared" si="0"/>
        <v>277777.77777777775</v>
      </c>
      <c r="E8" s="126">
        <f t="shared" si="1"/>
        <v>61111.111111111102</v>
      </c>
      <c r="F8" s="127">
        <f t="shared" si="2"/>
        <v>338888.88888888888</v>
      </c>
    </row>
    <row r="9" spans="1:6" ht="18.95" customHeight="1" x14ac:dyDescent="0.25">
      <c r="A9" s="337"/>
      <c r="B9" s="29" t="s">
        <v>37</v>
      </c>
      <c r="C9" s="125">
        <f t="shared" si="3"/>
        <v>8888888.8888888881</v>
      </c>
      <c r="D9" s="122">
        <f t="shared" si="0"/>
        <v>277777.77777777775</v>
      </c>
      <c r="E9" s="126">
        <f t="shared" si="1"/>
        <v>59259.259259259248</v>
      </c>
      <c r="F9" s="127">
        <f t="shared" si="2"/>
        <v>337037.03703703702</v>
      </c>
    </row>
    <row r="10" spans="1:6" ht="18" customHeight="1" x14ac:dyDescent="0.25">
      <c r="A10" s="337"/>
      <c r="B10" s="29" t="s">
        <v>38</v>
      </c>
      <c r="C10" s="125">
        <f t="shared" si="3"/>
        <v>8611111.1111111101</v>
      </c>
      <c r="D10" s="122">
        <f t="shared" si="0"/>
        <v>277777.77777777775</v>
      </c>
      <c r="E10" s="126">
        <f t="shared" si="1"/>
        <v>57407.407407407409</v>
      </c>
      <c r="F10" s="127">
        <f t="shared" si="2"/>
        <v>335185.18518518517</v>
      </c>
    </row>
    <row r="11" spans="1:6" ht="17.100000000000001" customHeight="1" x14ac:dyDescent="0.25">
      <c r="A11" s="337"/>
      <c r="B11" s="29" t="s">
        <v>39</v>
      </c>
      <c r="C11" s="125">
        <f t="shared" si="3"/>
        <v>8333333.3333333321</v>
      </c>
      <c r="D11" s="122">
        <f t="shared" si="0"/>
        <v>277777.77777777775</v>
      </c>
      <c r="E11" s="126">
        <f t="shared" si="1"/>
        <v>55555.555555555555</v>
      </c>
      <c r="F11" s="127">
        <f t="shared" si="2"/>
        <v>333333.33333333331</v>
      </c>
    </row>
    <row r="12" spans="1:6" ht="18" customHeight="1" x14ac:dyDescent="0.25">
      <c r="A12" s="337"/>
      <c r="B12" s="29" t="s">
        <v>40</v>
      </c>
      <c r="C12" s="125">
        <f t="shared" si="3"/>
        <v>8055555.5555555541</v>
      </c>
      <c r="D12" s="122">
        <f t="shared" si="0"/>
        <v>277777.77777777775</v>
      </c>
      <c r="E12" s="126">
        <f t="shared" si="1"/>
        <v>53703.703703703701</v>
      </c>
      <c r="F12" s="127">
        <f t="shared" si="2"/>
        <v>331481.48148148146</v>
      </c>
    </row>
    <row r="13" spans="1:6" ht="15.95" customHeight="1" x14ac:dyDescent="0.25">
      <c r="A13" s="337"/>
      <c r="B13" s="29" t="s">
        <v>41</v>
      </c>
      <c r="C13" s="125">
        <f t="shared" si="3"/>
        <v>7777777.7777777761</v>
      </c>
      <c r="D13" s="122">
        <f t="shared" si="0"/>
        <v>277777.77777777775</v>
      </c>
      <c r="E13" s="126">
        <f t="shared" si="1"/>
        <v>51851.851851851847</v>
      </c>
      <c r="F13" s="127">
        <f t="shared" si="2"/>
        <v>329629.62962962961</v>
      </c>
    </row>
    <row r="14" spans="1:6" ht="17.100000000000001" customHeight="1" x14ac:dyDescent="0.25">
      <c r="A14" s="337"/>
      <c r="B14" s="29" t="s">
        <v>42</v>
      </c>
      <c r="C14" s="125">
        <f t="shared" si="3"/>
        <v>7499999.9999999981</v>
      </c>
      <c r="D14" s="122">
        <f t="shared" si="0"/>
        <v>277777.77777777775</v>
      </c>
      <c r="E14" s="126">
        <f t="shared" si="1"/>
        <v>49999.999999999993</v>
      </c>
      <c r="F14" s="127">
        <f t="shared" si="2"/>
        <v>327777.77777777775</v>
      </c>
    </row>
    <row r="15" spans="1:6" ht="15.95" customHeight="1" x14ac:dyDescent="0.25">
      <c r="A15" s="337"/>
      <c r="B15" s="29" t="s">
        <v>43</v>
      </c>
      <c r="C15" s="125">
        <f t="shared" si="3"/>
        <v>7222222.2222222202</v>
      </c>
      <c r="D15" s="122">
        <f t="shared" si="0"/>
        <v>277777.77777777775</v>
      </c>
      <c r="E15" s="126">
        <f t="shared" si="1"/>
        <v>48148.148148148139</v>
      </c>
      <c r="F15" s="127">
        <f t="shared" si="2"/>
        <v>325925.9259259259</v>
      </c>
    </row>
    <row r="16" spans="1:6" ht="17.100000000000001" customHeight="1" x14ac:dyDescent="0.25">
      <c r="A16" s="337"/>
      <c r="B16" s="30" t="s">
        <v>44</v>
      </c>
      <c r="C16" s="128">
        <f t="shared" si="3"/>
        <v>6944444.4444444422</v>
      </c>
      <c r="D16" s="122">
        <f t="shared" si="0"/>
        <v>277777.77777777775</v>
      </c>
      <c r="E16" s="126">
        <f t="shared" si="1"/>
        <v>46296.296296296285</v>
      </c>
      <c r="F16" s="129">
        <f t="shared" si="2"/>
        <v>324074.07407407404</v>
      </c>
    </row>
    <row r="17" spans="1:6" ht="21" customHeight="1" x14ac:dyDescent="0.25">
      <c r="A17" s="338" t="s">
        <v>24</v>
      </c>
      <c r="B17" s="338"/>
      <c r="C17" s="130">
        <f>+C16</f>
        <v>6944444.4444444422</v>
      </c>
      <c r="D17" s="131">
        <f>SUM(D5:D16)</f>
        <v>3333333.333333334</v>
      </c>
      <c r="E17" s="131">
        <f>SUM(E5:E16)</f>
        <v>677777.77777777764</v>
      </c>
      <c r="F17" s="132">
        <f>SUM(F4:F16)</f>
        <v>4011111.111111111</v>
      </c>
    </row>
    <row r="18" spans="1:6" ht="15.75" x14ac:dyDescent="0.25">
      <c r="A18" s="339">
        <f>+'TABl-Amort-Annuel-Emprt'!A7</f>
        <v>2027</v>
      </c>
      <c r="B18" s="34" t="s">
        <v>33</v>
      </c>
      <c r="C18" s="133">
        <f>C16-D16</f>
        <v>6666666.6666666642</v>
      </c>
      <c r="D18" s="133">
        <f t="shared" ref="D18:D29" si="4">$C$4/$D$2</f>
        <v>277777.77777777775</v>
      </c>
      <c r="E18" s="134">
        <f t="shared" ref="E18:E29" si="5">+C18*$F$2/12</f>
        <v>44444.444444444431</v>
      </c>
      <c r="F18" s="134">
        <f t="shared" ref="F18:F49" si="6">+D18+E18</f>
        <v>322222.22222222219</v>
      </c>
    </row>
    <row r="19" spans="1:6" ht="15.75" x14ac:dyDescent="0.25">
      <c r="A19" s="339"/>
      <c r="B19" s="36" t="s">
        <v>34</v>
      </c>
      <c r="C19" s="122">
        <f t="shared" ref="C19:C29" si="7">+C18-D18</f>
        <v>6388888.8888888862</v>
      </c>
      <c r="D19" s="133">
        <f t="shared" si="4"/>
        <v>277777.77777777775</v>
      </c>
      <c r="E19" s="134">
        <f t="shared" si="5"/>
        <v>42592.592592592577</v>
      </c>
      <c r="F19" s="134">
        <f t="shared" si="6"/>
        <v>320370.37037037034</v>
      </c>
    </row>
    <row r="20" spans="1:6" ht="15.75" x14ac:dyDescent="0.25">
      <c r="A20" s="339"/>
      <c r="B20" s="36" t="s">
        <v>35</v>
      </c>
      <c r="C20" s="122">
        <f t="shared" si="7"/>
        <v>6111111.1111111082</v>
      </c>
      <c r="D20" s="133">
        <f t="shared" si="4"/>
        <v>277777.77777777775</v>
      </c>
      <c r="E20" s="134">
        <f t="shared" si="5"/>
        <v>40740.740740740723</v>
      </c>
      <c r="F20" s="134">
        <f t="shared" si="6"/>
        <v>318518.51851851848</v>
      </c>
    </row>
    <row r="21" spans="1:6" ht="15.75" x14ac:dyDescent="0.25">
      <c r="A21" s="339"/>
      <c r="B21" s="36" t="s">
        <v>36</v>
      </c>
      <c r="C21" s="122">
        <f t="shared" si="7"/>
        <v>5833333.3333333302</v>
      </c>
      <c r="D21" s="133">
        <f t="shared" si="4"/>
        <v>277777.77777777775</v>
      </c>
      <c r="E21" s="134">
        <f t="shared" si="5"/>
        <v>38888.888888888869</v>
      </c>
      <c r="F21" s="134">
        <f t="shared" si="6"/>
        <v>316666.66666666663</v>
      </c>
    </row>
    <row r="22" spans="1:6" ht="15.75" x14ac:dyDescent="0.25">
      <c r="A22" s="339"/>
      <c r="B22" s="36" t="s">
        <v>37</v>
      </c>
      <c r="C22" s="122">
        <f t="shared" si="7"/>
        <v>5555555.5555555522</v>
      </c>
      <c r="D22" s="133">
        <f t="shared" si="4"/>
        <v>277777.77777777775</v>
      </c>
      <c r="E22" s="134">
        <f t="shared" si="5"/>
        <v>37037.037037037015</v>
      </c>
      <c r="F22" s="134">
        <f t="shared" si="6"/>
        <v>314814.81481481477</v>
      </c>
    </row>
    <row r="23" spans="1:6" ht="15.75" x14ac:dyDescent="0.25">
      <c r="A23" s="339"/>
      <c r="B23" s="36" t="s">
        <v>38</v>
      </c>
      <c r="C23" s="122">
        <f t="shared" si="7"/>
        <v>5277777.7777777743</v>
      </c>
      <c r="D23" s="133">
        <f t="shared" si="4"/>
        <v>277777.77777777775</v>
      </c>
      <c r="E23" s="134">
        <f t="shared" si="5"/>
        <v>35185.185185185161</v>
      </c>
      <c r="F23" s="134">
        <f t="shared" si="6"/>
        <v>312962.96296296292</v>
      </c>
    </row>
    <row r="24" spans="1:6" ht="15.75" x14ac:dyDescent="0.25">
      <c r="A24" s="339"/>
      <c r="B24" s="36" t="s">
        <v>39</v>
      </c>
      <c r="C24" s="122">
        <f t="shared" si="7"/>
        <v>4999999.9999999963</v>
      </c>
      <c r="D24" s="133">
        <f t="shared" si="4"/>
        <v>277777.77777777775</v>
      </c>
      <c r="E24" s="134">
        <f t="shared" si="5"/>
        <v>33333.333333333307</v>
      </c>
      <c r="F24" s="134">
        <f t="shared" si="6"/>
        <v>311111.11111111107</v>
      </c>
    </row>
    <row r="25" spans="1:6" ht="15.75" x14ac:dyDescent="0.25">
      <c r="A25" s="339"/>
      <c r="B25" s="36" t="s">
        <v>40</v>
      </c>
      <c r="C25" s="122">
        <f t="shared" si="7"/>
        <v>4722222.2222222183</v>
      </c>
      <c r="D25" s="133">
        <f t="shared" si="4"/>
        <v>277777.77777777775</v>
      </c>
      <c r="E25" s="134">
        <f t="shared" si="5"/>
        <v>31481.481481481456</v>
      </c>
      <c r="F25" s="134">
        <f t="shared" si="6"/>
        <v>309259.25925925921</v>
      </c>
    </row>
    <row r="26" spans="1:6" ht="15.75" x14ac:dyDescent="0.25">
      <c r="A26" s="339"/>
      <c r="B26" s="36" t="s">
        <v>41</v>
      </c>
      <c r="C26" s="122">
        <f t="shared" si="7"/>
        <v>4444444.4444444403</v>
      </c>
      <c r="D26" s="133">
        <f t="shared" si="4"/>
        <v>277777.77777777775</v>
      </c>
      <c r="E26" s="134">
        <f t="shared" si="5"/>
        <v>29629.629629629602</v>
      </c>
      <c r="F26" s="134">
        <f t="shared" si="6"/>
        <v>307407.40740740736</v>
      </c>
    </row>
    <row r="27" spans="1:6" ht="15.75" x14ac:dyDescent="0.25">
      <c r="A27" s="339"/>
      <c r="B27" s="36" t="s">
        <v>42</v>
      </c>
      <c r="C27" s="122">
        <f t="shared" si="7"/>
        <v>4166666.6666666623</v>
      </c>
      <c r="D27" s="133">
        <f t="shared" si="4"/>
        <v>277777.77777777775</v>
      </c>
      <c r="E27" s="134">
        <f t="shared" si="5"/>
        <v>27777.777777777748</v>
      </c>
      <c r="F27" s="134">
        <f t="shared" si="6"/>
        <v>305555.5555555555</v>
      </c>
    </row>
    <row r="28" spans="1:6" ht="15.75" x14ac:dyDescent="0.25">
      <c r="A28" s="339"/>
      <c r="B28" s="36" t="s">
        <v>43</v>
      </c>
      <c r="C28" s="122">
        <f t="shared" si="7"/>
        <v>3888888.8888888843</v>
      </c>
      <c r="D28" s="133">
        <f t="shared" si="4"/>
        <v>277777.77777777775</v>
      </c>
      <c r="E28" s="134">
        <f t="shared" si="5"/>
        <v>25925.925925925898</v>
      </c>
      <c r="F28" s="134">
        <f t="shared" si="6"/>
        <v>303703.70370370365</v>
      </c>
    </row>
    <row r="29" spans="1:6" ht="15.75" x14ac:dyDescent="0.25">
      <c r="A29" s="339"/>
      <c r="B29" s="37" t="s">
        <v>44</v>
      </c>
      <c r="C29" s="134">
        <f t="shared" si="7"/>
        <v>3611111.1111111064</v>
      </c>
      <c r="D29" s="133">
        <f t="shared" si="4"/>
        <v>277777.77777777775</v>
      </c>
      <c r="E29" s="134">
        <f t="shared" si="5"/>
        <v>24074.074074074044</v>
      </c>
      <c r="F29" s="134">
        <f t="shared" si="6"/>
        <v>301851.8518518518</v>
      </c>
    </row>
    <row r="30" spans="1:6" ht="15.75" x14ac:dyDescent="0.25">
      <c r="A30" s="340" t="s">
        <v>24</v>
      </c>
      <c r="B30" s="340"/>
      <c r="C30" s="135">
        <f>+C29</f>
        <v>3611111.1111111064</v>
      </c>
      <c r="D30" s="135">
        <f>SUM(D18:D29)</f>
        <v>3333333.333333334</v>
      </c>
      <c r="E30" s="135">
        <f>SUM(E18:E29)</f>
        <v>411111.11111111083</v>
      </c>
      <c r="F30" s="132">
        <f t="shared" si="6"/>
        <v>3744444.444444445</v>
      </c>
    </row>
    <row r="31" spans="1:6" ht="15.75" x14ac:dyDescent="0.25">
      <c r="A31" s="339">
        <f>+'TABl-Amort-Annuel-Emprt'!A8</f>
        <v>2028</v>
      </c>
      <c r="B31" s="34" t="s">
        <v>33</v>
      </c>
      <c r="C31" s="133">
        <f>C29-D29</f>
        <v>3333333.3333333284</v>
      </c>
      <c r="D31" s="133">
        <f t="shared" ref="D31:D42" si="8">$C$4/$D$2</f>
        <v>277777.77777777775</v>
      </c>
      <c r="E31" s="134">
        <f t="shared" ref="E31:E42" si="9">+C31*$F$2/12</f>
        <v>22222.22222222219</v>
      </c>
      <c r="F31" s="134">
        <f t="shared" si="6"/>
        <v>299999.99999999994</v>
      </c>
    </row>
    <row r="32" spans="1:6" ht="15.75" x14ac:dyDescent="0.25">
      <c r="A32" s="339"/>
      <c r="B32" s="36" t="s">
        <v>34</v>
      </c>
      <c r="C32" s="122">
        <f t="shared" ref="C32:C42" si="10">+C31-D31</f>
        <v>3055555.5555555504</v>
      </c>
      <c r="D32" s="133">
        <f t="shared" si="8"/>
        <v>277777.77777777775</v>
      </c>
      <c r="E32" s="134">
        <f t="shared" si="9"/>
        <v>20370.370370370336</v>
      </c>
      <c r="F32" s="134">
        <f t="shared" si="6"/>
        <v>298148.14814814809</v>
      </c>
    </row>
    <row r="33" spans="1:6" ht="15.75" x14ac:dyDescent="0.25">
      <c r="A33" s="339"/>
      <c r="B33" s="36" t="s">
        <v>35</v>
      </c>
      <c r="C33" s="122">
        <f t="shared" si="10"/>
        <v>2777777.7777777724</v>
      </c>
      <c r="D33" s="133">
        <f t="shared" si="8"/>
        <v>277777.77777777775</v>
      </c>
      <c r="E33" s="134">
        <f t="shared" si="9"/>
        <v>18518.518518518482</v>
      </c>
      <c r="F33" s="134">
        <f t="shared" si="6"/>
        <v>296296.29629629623</v>
      </c>
    </row>
    <row r="34" spans="1:6" ht="15.75" x14ac:dyDescent="0.25">
      <c r="A34" s="339"/>
      <c r="B34" s="36" t="s">
        <v>36</v>
      </c>
      <c r="C34" s="122">
        <f t="shared" si="10"/>
        <v>2499999.9999999944</v>
      </c>
      <c r="D34" s="133">
        <f t="shared" si="8"/>
        <v>277777.77777777775</v>
      </c>
      <c r="E34" s="134">
        <f t="shared" si="9"/>
        <v>16666.666666666631</v>
      </c>
      <c r="F34" s="134">
        <f t="shared" si="6"/>
        <v>294444.44444444438</v>
      </c>
    </row>
    <row r="35" spans="1:6" ht="15.75" x14ac:dyDescent="0.25">
      <c r="A35" s="339"/>
      <c r="B35" s="36" t="s">
        <v>37</v>
      </c>
      <c r="C35" s="122">
        <f t="shared" si="10"/>
        <v>2222222.2222222164</v>
      </c>
      <c r="D35" s="133">
        <f t="shared" si="8"/>
        <v>277777.77777777775</v>
      </c>
      <c r="E35" s="134">
        <f t="shared" si="9"/>
        <v>14814.814814814776</v>
      </c>
      <c r="F35" s="134">
        <f t="shared" si="6"/>
        <v>292592.59259259253</v>
      </c>
    </row>
    <row r="36" spans="1:6" ht="15.75" x14ac:dyDescent="0.25">
      <c r="A36" s="339"/>
      <c r="B36" s="36" t="s">
        <v>38</v>
      </c>
      <c r="C36" s="122">
        <f t="shared" si="10"/>
        <v>1944444.4444444387</v>
      </c>
      <c r="D36" s="133">
        <f t="shared" si="8"/>
        <v>277777.77777777775</v>
      </c>
      <c r="E36" s="134">
        <f t="shared" si="9"/>
        <v>12962.962962962925</v>
      </c>
      <c r="F36" s="134">
        <f t="shared" si="6"/>
        <v>290740.74074074067</v>
      </c>
    </row>
    <row r="37" spans="1:6" ht="15.75" x14ac:dyDescent="0.25">
      <c r="A37" s="339"/>
      <c r="B37" s="36" t="s">
        <v>39</v>
      </c>
      <c r="C37" s="122">
        <f t="shared" si="10"/>
        <v>1666666.6666666609</v>
      </c>
      <c r="D37" s="133">
        <f t="shared" si="8"/>
        <v>277777.77777777775</v>
      </c>
      <c r="E37" s="134">
        <f t="shared" si="9"/>
        <v>11111.111111111073</v>
      </c>
      <c r="F37" s="134">
        <f t="shared" si="6"/>
        <v>288888.88888888882</v>
      </c>
    </row>
    <row r="38" spans="1:6" ht="15.75" x14ac:dyDescent="0.25">
      <c r="A38" s="339"/>
      <c r="B38" s="36" t="s">
        <v>40</v>
      </c>
      <c r="C38" s="122">
        <f t="shared" si="10"/>
        <v>1388888.8888888832</v>
      </c>
      <c r="D38" s="133">
        <f t="shared" si="8"/>
        <v>277777.77777777775</v>
      </c>
      <c r="E38" s="134">
        <f t="shared" si="9"/>
        <v>9259.2592592592209</v>
      </c>
      <c r="F38" s="134">
        <f t="shared" si="6"/>
        <v>287037.03703703696</v>
      </c>
    </row>
    <row r="39" spans="1:6" ht="15.75" x14ac:dyDescent="0.25">
      <c r="A39" s="339"/>
      <c r="B39" s="36" t="s">
        <v>41</v>
      </c>
      <c r="C39" s="122">
        <f t="shared" si="10"/>
        <v>1111111.1111111054</v>
      </c>
      <c r="D39" s="133">
        <f t="shared" si="8"/>
        <v>277777.77777777775</v>
      </c>
      <c r="E39" s="134">
        <f t="shared" si="9"/>
        <v>7407.4074074073696</v>
      </c>
      <c r="F39" s="134">
        <f t="shared" si="6"/>
        <v>285185.18518518511</v>
      </c>
    </row>
    <row r="40" spans="1:6" ht="15.75" x14ac:dyDescent="0.25">
      <c r="A40" s="339"/>
      <c r="B40" s="36" t="s">
        <v>42</v>
      </c>
      <c r="C40" s="122">
        <f t="shared" si="10"/>
        <v>833333.33333332767</v>
      </c>
      <c r="D40" s="133">
        <f t="shared" si="8"/>
        <v>277777.77777777775</v>
      </c>
      <c r="E40" s="134">
        <f t="shared" si="9"/>
        <v>5555.5555555555184</v>
      </c>
      <c r="F40" s="134">
        <f t="shared" si="6"/>
        <v>283333.33333333326</v>
      </c>
    </row>
    <row r="41" spans="1:6" ht="15.75" x14ac:dyDescent="0.25">
      <c r="A41" s="339"/>
      <c r="B41" s="36" t="s">
        <v>43</v>
      </c>
      <c r="C41" s="122">
        <f t="shared" si="10"/>
        <v>555555.55555554992</v>
      </c>
      <c r="D41" s="133">
        <f t="shared" si="8"/>
        <v>277777.77777777775</v>
      </c>
      <c r="E41" s="134">
        <f t="shared" si="9"/>
        <v>3703.7037037036662</v>
      </c>
      <c r="F41" s="134">
        <f t="shared" si="6"/>
        <v>281481.4814814814</v>
      </c>
    </row>
    <row r="42" spans="1:6" ht="15.75" x14ac:dyDescent="0.25">
      <c r="A42" s="339"/>
      <c r="B42" s="37" t="s">
        <v>44</v>
      </c>
      <c r="C42" s="134">
        <f t="shared" si="10"/>
        <v>277777.77777777216</v>
      </c>
      <c r="D42" s="133">
        <f t="shared" si="8"/>
        <v>277777.77777777775</v>
      </c>
      <c r="E42" s="134">
        <f t="shared" si="9"/>
        <v>1851.8518518518147</v>
      </c>
      <c r="F42" s="134">
        <f t="shared" si="6"/>
        <v>279629.62962962955</v>
      </c>
    </row>
    <row r="43" spans="1:6" ht="15.75" x14ac:dyDescent="0.25">
      <c r="A43" s="340" t="s">
        <v>24</v>
      </c>
      <c r="B43" s="340"/>
      <c r="C43" s="135">
        <f>+C42</f>
        <v>277777.77777777216</v>
      </c>
      <c r="D43" s="135">
        <f>SUM(D31:D42)</f>
        <v>3333333.333333334</v>
      </c>
      <c r="E43" s="135">
        <f>SUM(E31:E42)</f>
        <v>144444.44444444403</v>
      </c>
      <c r="F43" s="132">
        <f t="shared" si="6"/>
        <v>3477777.777777778</v>
      </c>
    </row>
    <row r="44" spans="1:6" ht="15.75" x14ac:dyDescent="0.25">
      <c r="A44" s="339">
        <f>+'TABl-Amort-Annuel-Emprt'!A9</f>
        <v>2029</v>
      </c>
      <c r="B44" s="34" t="s">
        <v>33</v>
      </c>
      <c r="C44" s="133">
        <f>C42-D42</f>
        <v>-5.5879354476928711E-9</v>
      </c>
      <c r="D44" s="133">
        <f t="shared" ref="D44:D55" si="11">$C$4/$D$2</f>
        <v>277777.77777777775</v>
      </c>
      <c r="E44" s="134">
        <f t="shared" ref="E44:E55" si="12">+C44*$F$2/12</f>
        <v>-3.7252902984619141E-11</v>
      </c>
      <c r="F44" s="134">
        <f t="shared" si="6"/>
        <v>277777.77777777769</v>
      </c>
    </row>
    <row r="45" spans="1:6" ht="15.75" x14ac:dyDescent="0.25">
      <c r="A45" s="339"/>
      <c r="B45" s="36" t="s">
        <v>34</v>
      </c>
      <c r="C45" s="122">
        <f t="shared" ref="C45:C55" si="13">+C44-D44</f>
        <v>-277777.77777778334</v>
      </c>
      <c r="D45" s="133">
        <f t="shared" si="11"/>
        <v>277777.77777777775</v>
      </c>
      <c r="E45" s="134">
        <f t="shared" si="12"/>
        <v>-1851.8518518518888</v>
      </c>
      <c r="F45" s="134">
        <f t="shared" si="6"/>
        <v>275925.92592592584</v>
      </c>
    </row>
    <row r="46" spans="1:6" ht="15.75" x14ac:dyDescent="0.25">
      <c r="A46" s="339"/>
      <c r="B46" s="36" t="s">
        <v>35</v>
      </c>
      <c r="C46" s="122">
        <f t="shared" si="13"/>
        <v>-555555.55555556109</v>
      </c>
      <c r="D46" s="133">
        <f t="shared" si="11"/>
        <v>277777.77777777775</v>
      </c>
      <c r="E46" s="134">
        <f t="shared" si="12"/>
        <v>-3703.7037037037408</v>
      </c>
      <c r="F46" s="134">
        <f t="shared" si="6"/>
        <v>274074.07407407399</v>
      </c>
    </row>
    <row r="47" spans="1:6" ht="15.75" x14ac:dyDescent="0.25">
      <c r="A47" s="339"/>
      <c r="B47" s="36" t="s">
        <v>36</v>
      </c>
      <c r="C47" s="122">
        <f t="shared" si="13"/>
        <v>-833333.33333333884</v>
      </c>
      <c r="D47" s="133">
        <f t="shared" si="11"/>
        <v>277777.77777777775</v>
      </c>
      <c r="E47" s="134">
        <f t="shared" si="12"/>
        <v>-5555.555555555592</v>
      </c>
      <c r="F47" s="134">
        <f t="shared" si="6"/>
        <v>272222.22222222213</v>
      </c>
    </row>
    <row r="48" spans="1:6" ht="15.75" x14ac:dyDescent="0.25">
      <c r="A48" s="339"/>
      <c r="B48" s="36" t="s">
        <v>37</v>
      </c>
      <c r="C48" s="122">
        <f t="shared" si="13"/>
        <v>-1111111.1111111166</v>
      </c>
      <c r="D48" s="133">
        <f t="shared" si="11"/>
        <v>277777.77777777775</v>
      </c>
      <c r="E48" s="134">
        <f t="shared" si="12"/>
        <v>-7407.4074074074442</v>
      </c>
      <c r="F48" s="134">
        <f t="shared" si="6"/>
        <v>270370.37037037034</v>
      </c>
    </row>
    <row r="49" spans="1:6" ht="15.75" x14ac:dyDescent="0.25">
      <c r="A49" s="339"/>
      <c r="B49" s="36" t="s">
        <v>38</v>
      </c>
      <c r="C49" s="122">
        <f t="shared" si="13"/>
        <v>-1388888.8888888943</v>
      </c>
      <c r="D49" s="133">
        <f t="shared" si="11"/>
        <v>277777.77777777775</v>
      </c>
      <c r="E49" s="134">
        <f t="shared" si="12"/>
        <v>-9259.2592592592955</v>
      </c>
      <c r="F49" s="134">
        <f t="shared" si="6"/>
        <v>268518.51851851848</v>
      </c>
    </row>
    <row r="50" spans="1:6" ht="15.75" x14ac:dyDescent="0.25">
      <c r="A50" s="339"/>
      <c r="B50" s="36" t="s">
        <v>39</v>
      </c>
      <c r="C50" s="122">
        <f t="shared" si="13"/>
        <v>-1666666.6666666721</v>
      </c>
      <c r="D50" s="133">
        <f t="shared" si="11"/>
        <v>277777.77777777775</v>
      </c>
      <c r="E50" s="134">
        <f t="shared" si="12"/>
        <v>-11111.111111111148</v>
      </c>
      <c r="F50" s="134">
        <f t="shared" ref="F50:F81" si="14">+D50+E50</f>
        <v>266666.66666666663</v>
      </c>
    </row>
    <row r="51" spans="1:6" ht="15.75" x14ac:dyDescent="0.25">
      <c r="A51" s="339"/>
      <c r="B51" s="36" t="s">
        <v>40</v>
      </c>
      <c r="C51" s="122">
        <f t="shared" si="13"/>
        <v>-1944444.4444444499</v>
      </c>
      <c r="D51" s="133">
        <f t="shared" si="11"/>
        <v>277777.77777777775</v>
      </c>
      <c r="E51" s="134">
        <f t="shared" si="12"/>
        <v>-12962.962962963</v>
      </c>
      <c r="F51" s="134">
        <f t="shared" si="14"/>
        <v>264814.81481481477</v>
      </c>
    </row>
    <row r="52" spans="1:6" ht="15.75" x14ac:dyDescent="0.25">
      <c r="A52" s="339"/>
      <c r="B52" s="36" t="s">
        <v>41</v>
      </c>
      <c r="C52" s="122">
        <f t="shared" si="13"/>
        <v>-2222222.2222222276</v>
      </c>
      <c r="D52" s="133">
        <f t="shared" si="11"/>
        <v>277777.77777777775</v>
      </c>
      <c r="E52" s="134">
        <f t="shared" si="12"/>
        <v>-14814.814814814852</v>
      </c>
      <c r="F52" s="134">
        <f t="shared" si="14"/>
        <v>262962.96296296292</v>
      </c>
    </row>
    <row r="53" spans="1:6" ht="15.75" x14ac:dyDescent="0.25">
      <c r="A53" s="339"/>
      <c r="B53" s="36" t="s">
        <v>42</v>
      </c>
      <c r="C53" s="122">
        <f t="shared" si="13"/>
        <v>-2500000.0000000056</v>
      </c>
      <c r="D53" s="133">
        <f t="shared" si="11"/>
        <v>277777.77777777775</v>
      </c>
      <c r="E53" s="134">
        <f t="shared" si="12"/>
        <v>-16666.666666666704</v>
      </c>
      <c r="F53" s="134">
        <f t="shared" si="14"/>
        <v>261111.11111111104</v>
      </c>
    </row>
    <row r="54" spans="1:6" ht="15.75" x14ac:dyDescent="0.25">
      <c r="A54" s="339"/>
      <c r="B54" s="36" t="s">
        <v>43</v>
      </c>
      <c r="C54" s="122">
        <f t="shared" si="13"/>
        <v>-2777777.7777777836</v>
      </c>
      <c r="D54" s="133">
        <f t="shared" si="11"/>
        <v>277777.77777777775</v>
      </c>
      <c r="E54" s="134">
        <f t="shared" si="12"/>
        <v>-18518.518518518558</v>
      </c>
      <c r="F54" s="134">
        <f t="shared" si="14"/>
        <v>259259.25925925918</v>
      </c>
    </row>
    <row r="55" spans="1:6" ht="15.75" x14ac:dyDescent="0.25">
      <c r="A55" s="339"/>
      <c r="B55" s="37" t="s">
        <v>44</v>
      </c>
      <c r="C55" s="134">
        <f t="shared" si="13"/>
        <v>-3055555.5555555616</v>
      </c>
      <c r="D55" s="133">
        <f t="shared" si="11"/>
        <v>277777.77777777775</v>
      </c>
      <c r="E55" s="134">
        <f t="shared" si="12"/>
        <v>-20370.370370370412</v>
      </c>
      <c r="F55" s="134">
        <f t="shared" si="14"/>
        <v>257407.40740740733</v>
      </c>
    </row>
    <row r="56" spans="1:6" ht="15.75" x14ac:dyDescent="0.25">
      <c r="A56" s="340" t="s">
        <v>24</v>
      </c>
      <c r="B56" s="340"/>
      <c r="C56" s="135">
        <f>+C55</f>
        <v>-3055555.5555555616</v>
      </c>
      <c r="D56" s="135">
        <f>SUM(D44:D55)</f>
        <v>3333333.333333334</v>
      </c>
      <c r="E56" s="135">
        <f>SUM(E44:E55)</f>
        <v>-122222.22222222266</v>
      </c>
      <c r="F56" s="132">
        <f t="shared" si="14"/>
        <v>3211111.1111111115</v>
      </c>
    </row>
    <row r="57" spans="1:6" ht="15.75" x14ac:dyDescent="0.25">
      <c r="A57" s="339">
        <f>+'TABl-Amort-Annuel-Emprt'!A10</f>
        <v>2030</v>
      </c>
      <c r="B57" s="34" t="s">
        <v>33</v>
      </c>
      <c r="C57" s="133">
        <f>C55-D55</f>
        <v>-3333333.3333333395</v>
      </c>
      <c r="D57" s="133">
        <f t="shared" ref="D57:D68" si="15">$C$4/$D$2</f>
        <v>277777.77777777775</v>
      </c>
      <c r="E57" s="134">
        <f t="shared" ref="E57:E68" si="16">+C57*$F$2/12</f>
        <v>-22222.222222222263</v>
      </c>
      <c r="F57" s="134">
        <f t="shared" si="14"/>
        <v>255555.5555555555</v>
      </c>
    </row>
    <row r="58" spans="1:6" ht="15.75" x14ac:dyDescent="0.25">
      <c r="A58" s="339"/>
      <c r="B58" s="36" t="s">
        <v>34</v>
      </c>
      <c r="C58" s="122">
        <f t="shared" ref="C58:C68" si="17">+C57-D57</f>
        <v>-3611111.1111111175</v>
      </c>
      <c r="D58" s="133">
        <f t="shared" si="15"/>
        <v>277777.77777777775</v>
      </c>
      <c r="E58" s="134">
        <f t="shared" si="16"/>
        <v>-24074.074074074117</v>
      </c>
      <c r="F58" s="134">
        <f t="shared" si="14"/>
        <v>253703.70370370365</v>
      </c>
    </row>
    <row r="59" spans="1:6" ht="15.75" x14ac:dyDescent="0.25">
      <c r="A59" s="339"/>
      <c r="B59" s="36" t="s">
        <v>35</v>
      </c>
      <c r="C59" s="122">
        <f t="shared" si="17"/>
        <v>-3888888.8888888955</v>
      </c>
      <c r="D59" s="133">
        <f t="shared" si="15"/>
        <v>277777.77777777775</v>
      </c>
      <c r="E59" s="134">
        <f t="shared" si="16"/>
        <v>-25925.925925925971</v>
      </c>
      <c r="F59" s="134">
        <f t="shared" si="14"/>
        <v>251851.8518518518</v>
      </c>
    </row>
    <row r="60" spans="1:6" ht="15.75" x14ac:dyDescent="0.25">
      <c r="A60" s="339"/>
      <c r="B60" s="36" t="s">
        <v>36</v>
      </c>
      <c r="C60" s="122">
        <f t="shared" si="17"/>
        <v>-4166666.6666666735</v>
      </c>
      <c r="D60" s="133">
        <f t="shared" si="15"/>
        <v>277777.77777777775</v>
      </c>
      <c r="E60" s="134">
        <f t="shared" si="16"/>
        <v>-27777.777777777825</v>
      </c>
      <c r="F60" s="134">
        <f t="shared" si="14"/>
        <v>249999.99999999994</v>
      </c>
    </row>
    <row r="61" spans="1:6" ht="15.75" x14ac:dyDescent="0.25">
      <c r="A61" s="339"/>
      <c r="B61" s="36" t="s">
        <v>37</v>
      </c>
      <c r="C61" s="122">
        <f t="shared" si="17"/>
        <v>-4444444.4444444515</v>
      </c>
      <c r="D61" s="133">
        <f t="shared" si="15"/>
        <v>277777.77777777775</v>
      </c>
      <c r="E61" s="134">
        <f t="shared" si="16"/>
        <v>-29629.629629629679</v>
      </c>
      <c r="F61" s="134">
        <f t="shared" si="14"/>
        <v>248148.14814814809</v>
      </c>
    </row>
    <row r="62" spans="1:6" ht="15.75" x14ac:dyDescent="0.25">
      <c r="A62" s="339"/>
      <c r="B62" s="36" t="s">
        <v>38</v>
      </c>
      <c r="C62" s="122">
        <f t="shared" si="17"/>
        <v>-4722222.2222222295</v>
      </c>
      <c r="D62" s="133">
        <f t="shared" si="15"/>
        <v>277777.77777777775</v>
      </c>
      <c r="E62" s="134">
        <f t="shared" si="16"/>
        <v>-31481.481481481533</v>
      </c>
      <c r="F62" s="134">
        <f t="shared" si="14"/>
        <v>246296.29629629623</v>
      </c>
    </row>
    <row r="63" spans="1:6" ht="15.75" x14ac:dyDescent="0.25">
      <c r="A63" s="339"/>
      <c r="B63" s="36" t="s">
        <v>39</v>
      </c>
      <c r="C63" s="122">
        <f t="shared" si="17"/>
        <v>-5000000.0000000075</v>
      </c>
      <c r="D63" s="133">
        <f t="shared" si="15"/>
        <v>277777.77777777775</v>
      </c>
      <c r="E63" s="134">
        <f t="shared" si="16"/>
        <v>-33333.333333333379</v>
      </c>
      <c r="F63" s="134">
        <f t="shared" si="14"/>
        <v>244444.44444444438</v>
      </c>
    </row>
    <row r="64" spans="1:6" ht="15.75" x14ac:dyDescent="0.25">
      <c r="A64" s="339"/>
      <c r="B64" s="36" t="s">
        <v>40</v>
      </c>
      <c r="C64" s="122">
        <f t="shared" si="17"/>
        <v>-5277777.7777777854</v>
      </c>
      <c r="D64" s="133">
        <f t="shared" si="15"/>
        <v>277777.77777777775</v>
      </c>
      <c r="E64" s="134">
        <f t="shared" si="16"/>
        <v>-35185.185185185233</v>
      </c>
      <c r="F64" s="134">
        <f t="shared" si="14"/>
        <v>242592.59259259253</v>
      </c>
    </row>
    <row r="65" spans="1:6" ht="15.75" x14ac:dyDescent="0.25">
      <c r="A65" s="339"/>
      <c r="B65" s="36" t="s">
        <v>41</v>
      </c>
      <c r="C65" s="122">
        <f t="shared" si="17"/>
        <v>-5555555.5555555634</v>
      </c>
      <c r="D65" s="133">
        <f t="shared" si="15"/>
        <v>277777.77777777775</v>
      </c>
      <c r="E65" s="134">
        <f t="shared" si="16"/>
        <v>-37037.037037037087</v>
      </c>
      <c r="F65" s="134">
        <f t="shared" si="14"/>
        <v>240740.74074074067</v>
      </c>
    </row>
    <row r="66" spans="1:6" ht="15.75" x14ac:dyDescent="0.25">
      <c r="A66" s="339"/>
      <c r="B66" s="36" t="s">
        <v>42</v>
      </c>
      <c r="C66" s="122">
        <f t="shared" si="17"/>
        <v>-5833333.3333333414</v>
      </c>
      <c r="D66" s="133">
        <f t="shared" si="15"/>
        <v>277777.77777777775</v>
      </c>
      <c r="E66" s="134">
        <f t="shared" si="16"/>
        <v>-38888.888888888941</v>
      </c>
      <c r="F66" s="134">
        <f t="shared" si="14"/>
        <v>238888.88888888882</v>
      </c>
    </row>
    <row r="67" spans="1:6" ht="15.75" x14ac:dyDescent="0.25">
      <c r="A67" s="339"/>
      <c r="B67" s="36" t="s">
        <v>43</v>
      </c>
      <c r="C67" s="122">
        <f t="shared" si="17"/>
        <v>-6111111.1111111194</v>
      </c>
      <c r="D67" s="133">
        <f t="shared" si="15"/>
        <v>277777.77777777775</v>
      </c>
      <c r="E67" s="134">
        <f t="shared" si="16"/>
        <v>-40740.740740740795</v>
      </c>
      <c r="F67" s="134">
        <f t="shared" si="14"/>
        <v>237037.03703703696</v>
      </c>
    </row>
    <row r="68" spans="1:6" ht="15.75" x14ac:dyDescent="0.25">
      <c r="A68" s="339"/>
      <c r="B68" s="37" t="s">
        <v>44</v>
      </c>
      <c r="C68" s="134">
        <f t="shared" si="17"/>
        <v>-6388888.8888888974</v>
      </c>
      <c r="D68" s="133">
        <f t="shared" si="15"/>
        <v>277777.77777777775</v>
      </c>
      <c r="E68" s="134">
        <f t="shared" si="16"/>
        <v>-42592.592592592649</v>
      </c>
      <c r="F68" s="134">
        <f t="shared" si="14"/>
        <v>235185.18518518511</v>
      </c>
    </row>
    <row r="69" spans="1:6" ht="23.1" customHeight="1" x14ac:dyDescent="0.25">
      <c r="A69" s="341" t="s">
        <v>24</v>
      </c>
      <c r="B69" s="341"/>
      <c r="C69" s="32">
        <f>+C68</f>
        <v>-6388888.8888888974</v>
      </c>
      <c r="D69" s="32">
        <f>SUM(D57:D68)</f>
        <v>3333333.333333334</v>
      </c>
      <c r="E69" s="32">
        <f>SUM(E57:E68)</f>
        <v>-388888.88888888946</v>
      </c>
      <c r="F69" s="33">
        <f t="shared" si="14"/>
        <v>2944444.4444444445</v>
      </c>
    </row>
    <row r="70" spans="1:6" ht="36" customHeight="1" x14ac:dyDescent="0.25">
      <c r="A70" s="342" t="s">
        <v>45</v>
      </c>
      <c r="B70" s="342"/>
      <c r="C70" s="342"/>
      <c r="D70" s="38">
        <f>+D69+D56+D43+D30+D17</f>
        <v>16666666.66666667</v>
      </c>
      <c r="E70" s="39">
        <f>+E69+E56+E43+E30+E17</f>
        <v>722222.22222222039</v>
      </c>
      <c r="F70" s="40">
        <f t="shared" si="14"/>
        <v>17388888.888888892</v>
      </c>
    </row>
  </sheetData>
  <mergeCells count="13">
    <mergeCell ref="A57:A68"/>
    <mergeCell ref="A69:B69"/>
    <mergeCell ref="A70:C70"/>
    <mergeCell ref="A30:B30"/>
    <mergeCell ref="A31:A42"/>
    <mergeCell ref="A43:B43"/>
    <mergeCell ref="A44:A55"/>
    <mergeCell ref="A56:B56"/>
    <mergeCell ref="A1:F1"/>
    <mergeCell ref="A4:B4"/>
    <mergeCell ref="A5:A16"/>
    <mergeCell ref="A17:B17"/>
    <mergeCell ref="A18:A29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12</vt:i4>
      </vt:variant>
    </vt:vector>
  </HeadingPairs>
  <TitlesOfParts>
    <vt:vector size="52" baseType="lpstr">
      <vt:lpstr>Cool'emprunt</vt:lpstr>
      <vt:lpstr>Guide_d'utilisation</vt:lpstr>
      <vt:lpstr>BASE_INFORMATION</vt:lpstr>
      <vt:lpstr>TABL-AMORT-EMPR_-5ans</vt:lpstr>
      <vt:lpstr>TABl-Amort-Annuel-Emprt</vt:lpstr>
      <vt:lpstr>PARTIE_etude et strategie</vt:lpstr>
      <vt:lpstr>Cout total Projet</vt:lpstr>
      <vt:lpstr>Amorts_5ans_immobilisations</vt:lpstr>
      <vt:lpstr>Page de garde_Exploitation</vt:lpstr>
      <vt:lpstr>Page de garde_Chiffre_d'affaire</vt:lpstr>
      <vt:lpstr>Chifre d'affaire-mens_anné_N</vt:lpstr>
      <vt:lpstr>page de garde Charge_d'expl</vt:lpstr>
      <vt:lpstr>Charge d'exploit_anné N</vt:lpstr>
      <vt:lpstr>page de garde_Compte_d'expl</vt:lpstr>
      <vt:lpstr>Compte-d'exploitat-anné_N</vt:lpstr>
      <vt:lpstr>page de garde_Prevision_d'expl</vt:lpstr>
      <vt:lpstr>Avant_propos_Previs</vt:lpstr>
      <vt:lpstr>Detail_Chiffr d'affair-Previsl</vt:lpstr>
      <vt:lpstr>Detail charge d'exploit_previsl</vt:lpstr>
      <vt:lpstr>CA_annuel_PREVISL</vt:lpstr>
      <vt:lpstr>Feuil5</vt:lpstr>
      <vt:lpstr>Charg-annuel_EXPL-PREVSL</vt:lpstr>
      <vt:lpstr>Compte-annuel_EXPL-PREVSL</vt:lpstr>
      <vt:lpstr>Prevision_financière</vt:lpstr>
      <vt:lpstr>Rapport_important</vt:lpstr>
      <vt:lpstr>PLAN_DE_TRESORERIE_mensuel</vt:lpstr>
      <vt:lpstr>Plan de tresorerie mensuel_5ans</vt:lpstr>
      <vt:lpstr>Plan_de_TRESR-annuel-PREVS</vt:lpstr>
      <vt:lpstr>Tableau Flux Net de Tresorerie</vt:lpstr>
      <vt:lpstr>C.A.F</vt:lpstr>
      <vt:lpstr>VAN-TIR-DRCI-TRC-IP</vt:lpstr>
      <vt:lpstr>B.F.R</vt:lpstr>
      <vt:lpstr>Seuil de rentabilité</vt:lpstr>
      <vt:lpstr>ETATS_ANNEXES</vt:lpstr>
      <vt:lpstr>PRO_FORMA</vt:lpstr>
      <vt:lpstr>GARANTIE_apporté</vt:lpstr>
      <vt:lpstr>NOS_REFERENCES</vt:lpstr>
      <vt:lpstr>DOCUMENTS_ADMINISTRATIVES</vt:lpstr>
      <vt:lpstr>TABL-AMORT-EMPR_-1_an_</vt:lpstr>
      <vt:lpstr>TABL-AMORT-EMPR_-3ans_</vt:lpstr>
      <vt:lpstr>Avant_propos_Previs!Zone_d_impression</vt:lpstr>
      <vt:lpstr>DOCUMENTS_ADMINISTRATIVES!Zone_d_impression</vt:lpstr>
      <vt:lpstr>ETATS_ANNEXES!Zone_d_impression</vt:lpstr>
      <vt:lpstr>GARANTIE_apporté!Zone_d_impression</vt:lpstr>
      <vt:lpstr>NOS_REFERENCES!Zone_d_impression</vt:lpstr>
      <vt:lpstr>'Page de garde_Exploitation'!Zone_d_impression</vt:lpstr>
      <vt:lpstr>'PARTIE_etude et strategie'!Zone_d_impression</vt:lpstr>
      <vt:lpstr>PLAN_DE_TRESORERIE_mensuel!Zone_d_impression</vt:lpstr>
      <vt:lpstr>'Plan_de_TRESR-annuel-PREVS'!Zone_d_impression</vt:lpstr>
      <vt:lpstr>Prevision_financière!Zone_d_impression</vt:lpstr>
      <vt:lpstr>PRO_FORMA!Zone_d_impression</vt:lpstr>
      <vt:lpstr>Rapport_important!Zone_d_impression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LBC</cp:lastModifiedBy>
  <cp:lastPrinted>2025-05-09T15:31:34Z</cp:lastPrinted>
  <dcterms:created xsi:type="dcterms:W3CDTF">2019-11-16T17:00:07Z</dcterms:created>
  <dcterms:modified xsi:type="dcterms:W3CDTF">2025-05-09T17:17:40Z</dcterms:modified>
</cp:coreProperties>
</file>