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05" windowWidth="15600" windowHeight="7695" firstSheet="3" activeTab="6"/>
  </bookViews>
  <sheets>
    <sheet name="Cadencier" sheetId="4" r:id="rId1"/>
    <sheet name="Grille des salaires" sheetId="7" r:id="rId2"/>
    <sheet name="Moyenne de rendement nettoyage" sheetId="1" r:id="rId3"/>
    <sheet name="Tableau de calcul de Taux Hor" sheetId="2" r:id="rId4"/>
    <sheet name="Couts Variables" sheetId="3" r:id="rId5"/>
    <sheet name="Couts Fixes Spécifiques" sheetId="5" r:id="rId6"/>
    <sheet name="Calcul CA" sheetId="6" r:id="rId7"/>
  </sheets>
  <definedNames>
    <definedName name="Q">'Tableau de calcul de Taux Hor'!$C$2</definedName>
    <definedName name="_xlnm.Print_Area" localSheetId="2">'Moyenne de rendement nettoyage'!$A$1:$U$80</definedName>
  </definedNames>
  <calcPr calcId="144525"/>
</workbook>
</file>

<file path=xl/calcChain.xml><?xml version="1.0" encoding="utf-8"?>
<calcChain xmlns="http://schemas.openxmlformats.org/spreadsheetml/2006/main">
  <c r="W78" i="1" l="1"/>
  <c r="V78" i="1"/>
  <c r="U78" i="1"/>
  <c r="S78" i="1"/>
  <c r="P78" i="1"/>
  <c r="O78" i="1"/>
  <c r="M78" i="1"/>
  <c r="L78" i="1"/>
  <c r="G78" i="1"/>
  <c r="H78" i="1" s="1"/>
  <c r="E78" i="1"/>
  <c r="F78" i="1" s="1"/>
  <c r="W8" i="1"/>
  <c r="V8" i="1"/>
  <c r="U8" i="1"/>
  <c r="S8" i="1"/>
  <c r="P8" i="1"/>
  <c r="O8" i="1"/>
  <c r="M8" i="1"/>
  <c r="L8" i="1"/>
  <c r="G8" i="1"/>
  <c r="H8" i="1" s="1"/>
  <c r="E8" i="1"/>
  <c r="F8" i="1" s="1"/>
  <c r="I39" i="3" l="1"/>
  <c r="G21" i="3"/>
  <c r="I21" i="3" s="1"/>
  <c r="W77" i="1"/>
  <c r="V77" i="1"/>
  <c r="U77" i="1"/>
  <c r="S77" i="1"/>
  <c r="P77" i="1"/>
  <c r="O77" i="1"/>
  <c r="M77" i="1"/>
  <c r="L77" i="1"/>
  <c r="G77" i="1"/>
  <c r="H77" i="1" s="1"/>
  <c r="E77" i="1"/>
  <c r="F77" i="1" s="1"/>
  <c r="W11" i="1" l="1"/>
  <c r="V11" i="1"/>
  <c r="U11" i="1"/>
  <c r="S11" i="1"/>
  <c r="P11" i="1"/>
  <c r="O11" i="1"/>
  <c r="M11" i="1"/>
  <c r="L11" i="1"/>
  <c r="G11" i="1"/>
  <c r="H11" i="1" s="1"/>
  <c r="E11" i="1"/>
  <c r="F11" i="1" s="1"/>
  <c r="W12" i="1"/>
  <c r="V12" i="1"/>
  <c r="U12" i="1"/>
  <c r="S12" i="1"/>
  <c r="P12" i="1"/>
  <c r="O12" i="1"/>
  <c r="M12" i="1"/>
  <c r="L12" i="1"/>
  <c r="G12" i="1"/>
  <c r="H12" i="1" s="1"/>
  <c r="E12" i="1"/>
  <c r="F12" i="1" s="1"/>
  <c r="G6" i="2"/>
  <c r="F5" i="2"/>
  <c r="F4" i="2"/>
  <c r="F3" i="2"/>
  <c r="G2" i="2"/>
  <c r="G8" i="2" s="1"/>
  <c r="D41" i="7"/>
  <c r="D40" i="7"/>
  <c r="D39" i="7"/>
  <c r="D38" i="7"/>
  <c r="D37" i="7"/>
  <c r="D36" i="7"/>
  <c r="G3" i="2" l="1"/>
  <c r="G5" i="2"/>
  <c r="G4" i="2"/>
  <c r="W76" i="1"/>
  <c r="V76" i="1"/>
  <c r="U76" i="1"/>
  <c r="S76" i="1"/>
  <c r="P76" i="1"/>
  <c r="O76" i="1"/>
  <c r="M76" i="1"/>
  <c r="L76" i="1"/>
  <c r="G76" i="1"/>
  <c r="H76" i="1" s="1"/>
  <c r="E76" i="1"/>
  <c r="F76" i="1" s="1"/>
  <c r="P9" i="1"/>
  <c r="O9" i="1"/>
  <c r="M9" i="1"/>
  <c r="V9" i="1" s="1"/>
  <c r="W9" i="1" s="1"/>
  <c r="G9" i="1"/>
  <c r="H9" i="1" s="1"/>
  <c r="L9" i="1" s="1"/>
  <c r="S9" i="1" s="1"/>
  <c r="U9" i="1" s="1"/>
  <c r="E9" i="1"/>
  <c r="F9" i="1" s="1"/>
  <c r="W75" i="1" l="1"/>
  <c r="V75" i="1"/>
  <c r="U75" i="1"/>
  <c r="S75" i="1"/>
  <c r="P75" i="1"/>
  <c r="O75" i="1"/>
  <c r="M75" i="1"/>
  <c r="L75" i="1"/>
  <c r="G75" i="1"/>
  <c r="H75" i="1" s="1"/>
  <c r="E75" i="1"/>
  <c r="F75" i="1" s="1"/>
  <c r="W74" i="1"/>
  <c r="V74" i="1"/>
  <c r="U74" i="1"/>
  <c r="S74" i="1"/>
  <c r="P74" i="1"/>
  <c r="O74" i="1"/>
  <c r="M74" i="1"/>
  <c r="L74" i="1"/>
  <c r="G74" i="1"/>
  <c r="H74" i="1" s="1"/>
  <c r="E74" i="1"/>
  <c r="F74" i="1" s="1"/>
  <c r="W73" i="1" l="1"/>
  <c r="V73" i="1"/>
  <c r="U73" i="1"/>
  <c r="S73" i="1"/>
  <c r="P73" i="1"/>
  <c r="O73" i="1"/>
  <c r="M73" i="1"/>
  <c r="L73" i="1"/>
  <c r="G73" i="1"/>
  <c r="H73" i="1" s="1"/>
  <c r="E73" i="1"/>
  <c r="F73" i="1" s="1"/>
  <c r="W72" i="1"/>
  <c r="V72" i="1"/>
  <c r="U72" i="1"/>
  <c r="S72" i="1"/>
  <c r="P72" i="1"/>
  <c r="O72" i="1"/>
  <c r="M72" i="1"/>
  <c r="L72" i="1"/>
  <c r="G72" i="1"/>
  <c r="H72" i="1" s="1"/>
  <c r="E72" i="1"/>
  <c r="F72" i="1" s="1"/>
  <c r="W70" i="1"/>
  <c r="V70" i="1"/>
  <c r="U70" i="1"/>
  <c r="S70" i="1"/>
  <c r="P70" i="1"/>
  <c r="O70" i="1"/>
  <c r="M70" i="1"/>
  <c r="L70" i="1"/>
  <c r="G70" i="1"/>
  <c r="H70" i="1" s="1"/>
  <c r="E70" i="1"/>
  <c r="F70" i="1" s="1"/>
  <c r="W71" i="1"/>
  <c r="V71" i="1"/>
  <c r="U71" i="1"/>
  <c r="S71" i="1"/>
  <c r="P71" i="1"/>
  <c r="O71" i="1"/>
  <c r="M71" i="1"/>
  <c r="L71" i="1"/>
  <c r="G71" i="1"/>
  <c r="H71" i="1" s="1"/>
  <c r="E71" i="1"/>
  <c r="F71" i="1" s="1"/>
  <c r="W69" i="1"/>
  <c r="V69" i="1"/>
  <c r="U69" i="1"/>
  <c r="S69" i="1"/>
  <c r="P69" i="1"/>
  <c r="O69" i="1"/>
  <c r="M69" i="1"/>
  <c r="L69" i="1"/>
  <c r="G69" i="1"/>
  <c r="H69" i="1" s="1"/>
  <c r="E69" i="1"/>
  <c r="F69" i="1" s="1"/>
  <c r="J12" i="3"/>
  <c r="K12" i="3" s="1"/>
  <c r="I12" i="3"/>
  <c r="M12" i="3" s="1"/>
  <c r="G12" i="3"/>
  <c r="J13" i="3"/>
  <c r="K13" i="3" s="1"/>
  <c r="I13" i="3"/>
  <c r="M13" i="3" s="1"/>
  <c r="G13" i="3"/>
  <c r="W67" i="1"/>
  <c r="V67" i="1"/>
  <c r="U67" i="1"/>
  <c r="S67" i="1"/>
  <c r="P67" i="1"/>
  <c r="O67" i="1"/>
  <c r="M67" i="1"/>
  <c r="L67" i="1"/>
  <c r="G67" i="1"/>
  <c r="H67" i="1" s="1"/>
  <c r="E67" i="1"/>
  <c r="F67" i="1" s="1"/>
  <c r="W68" i="1"/>
  <c r="V68" i="1"/>
  <c r="U68" i="1"/>
  <c r="S68" i="1"/>
  <c r="P68" i="1"/>
  <c r="O68" i="1"/>
  <c r="M68" i="1"/>
  <c r="L68" i="1"/>
  <c r="G68" i="1"/>
  <c r="H68" i="1" s="1"/>
  <c r="E68" i="1"/>
  <c r="F68" i="1" s="1"/>
  <c r="I17" i="6" l="1"/>
  <c r="J7" i="3"/>
  <c r="K7" i="3" s="1"/>
  <c r="I7" i="3"/>
  <c r="M7" i="3" s="1"/>
  <c r="G7" i="3"/>
  <c r="J6" i="3"/>
  <c r="K6" i="3" s="1"/>
  <c r="I6" i="3"/>
  <c r="M6" i="3" s="1"/>
  <c r="G6" i="3"/>
  <c r="J8" i="3"/>
  <c r="K8" i="3" s="1"/>
  <c r="I8" i="3"/>
  <c r="M8" i="3" s="1"/>
  <c r="G8" i="3"/>
  <c r="J9" i="3"/>
  <c r="K9" i="3" s="1"/>
  <c r="I9" i="3"/>
  <c r="M9" i="3" s="1"/>
  <c r="G9" i="3"/>
  <c r="J10" i="3"/>
  <c r="K10" i="3" s="1"/>
  <c r="I10" i="3"/>
  <c r="M10" i="3" s="1"/>
  <c r="G10" i="3"/>
  <c r="J5" i="3"/>
  <c r="G5" i="3"/>
  <c r="I5" i="3" s="1"/>
  <c r="M5" i="3" s="1"/>
  <c r="E38" i="3"/>
  <c r="F38" i="3" s="1"/>
  <c r="G39" i="3"/>
  <c r="K39" i="3" s="1"/>
  <c r="W62" i="1"/>
  <c r="V62" i="1"/>
  <c r="U62" i="1"/>
  <c r="S62" i="1"/>
  <c r="P62" i="1"/>
  <c r="O62" i="1"/>
  <c r="M62" i="1"/>
  <c r="L62" i="1"/>
  <c r="G62" i="1"/>
  <c r="H62" i="1" s="1"/>
  <c r="E62" i="1"/>
  <c r="F62" i="1" s="1"/>
  <c r="W63" i="1"/>
  <c r="V63" i="1"/>
  <c r="U63" i="1"/>
  <c r="S63" i="1"/>
  <c r="P63" i="1"/>
  <c r="O63" i="1"/>
  <c r="M63" i="1"/>
  <c r="L63" i="1"/>
  <c r="G63" i="1"/>
  <c r="H63" i="1" s="1"/>
  <c r="E63" i="1"/>
  <c r="F63" i="1" s="1"/>
  <c r="K5" i="3" l="1"/>
  <c r="I37" i="3"/>
  <c r="G38" i="3"/>
  <c r="H38" i="3" s="1"/>
  <c r="I38" i="3" s="1"/>
  <c r="J38" i="3" s="1"/>
  <c r="K38" i="3" s="1"/>
  <c r="C39" i="3"/>
  <c r="W61" i="1"/>
  <c r="V61" i="1"/>
  <c r="U61" i="1"/>
  <c r="S61" i="1"/>
  <c r="P61" i="1"/>
  <c r="O61" i="1"/>
  <c r="M61" i="1"/>
  <c r="L61" i="1"/>
  <c r="G61" i="1"/>
  <c r="H61" i="1" s="1"/>
  <c r="E61" i="1"/>
  <c r="F61" i="1" s="1"/>
  <c r="W66" i="1"/>
  <c r="V66" i="1"/>
  <c r="U66" i="1"/>
  <c r="S66" i="1"/>
  <c r="P66" i="1"/>
  <c r="O66" i="1"/>
  <c r="M66" i="1"/>
  <c r="L66" i="1"/>
  <c r="G66" i="1"/>
  <c r="H66" i="1" s="1"/>
  <c r="E66" i="1"/>
  <c r="F66" i="1" s="1"/>
  <c r="W65" i="1" l="1"/>
  <c r="V65" i="1"/>
  <c r="U65" i="1"/>
  <c r="S65" i="1"/>
  <c r="P65" i="1"/>
  <c r="O65" i="1"/>
  <c r="M65" i="1"/>
  <c r="L65" i="1"/>
  <c r="G65" i="1"/>
  <c r="H65" i="1" s="1"/>
  <c r="E65" i="1"/>
  <c r="F65" i="1" s="1"/>
  <c r="W16" i="1"/>
  <c r="V16" i="1"/>
  <c r="U16" i="1"/>
  <c r="S16" i="1"/>
  <c r="P16" i="1"/>
  <c r="O16" i="1"/>
  <c r="M16" i="1"/>
  <c r="L16" i="1"/>
  <c r="G16" i="1"/>
  <c r="H16" i="1" s="1"/>
  <c r="E16" i="1"/>
  <c r="F16" i="1" s="1"/>
  <c r="W64" i="1"/>
  <c r="V64" i="1"/>
  <c r="U64" i="1"/>
  <c r="S64" i="1"/>
  <c r="P64" i="1"/>
  <c r="O64" i="1"/>
  <c r="M64" i="1"/>
  <c r="L64" i="1"/>
  <c r="G64" i="1"/>
  <c r="H64" i="1" s="1"/>
  <c r="E64" i="1"/>
  <c r="F64" i="1" s="1"/>
  <c r="W60" i="1"/>
  <c r="V60" i="1"/>
  <c r="U60" i="1"/>
  <c r="S60" i="1"/>
  <c r="P60" i="1"/>
  <c r="O60" i="1"/>
  <c r="M60" i="1"/>
  <c r="L60" i="1"/>
  <c r="G60" i="1"/>
  <c r="H60" i="1" s="1"/>
  <c r="E60" i="1"/>
  <c r="F60" i="1" s="1"/>
  <c r="W59" i="1" l="1"/>
  <c r="V59" i="1"/>
  <c r="U59" i="1"/>
  <c r="S59" i="1"/>
  <c r="P59" i="1"/>
  <c r="O59" i="1"/>
  <c r="M59" i="1"/>
  <c r="L59" i="1"/>
  <c r="G59" i="1"/>
  <c r="H59" i="1" s="1"/>
  <c r="E59" i="1"/>
  <c r="F59" i="1" s="1"/>
  <c r="G28" i="3"/>
  <c r="I28" i="3" s="1"/>
  <c r="G27" i="3"/>
  <c r="I27" i="3" s="1"/>
  <c r="G26" i="3"/>
  <c r="I26" i="3" s="1"/>
  <c r="G25" i="3"/>
  <c r="I25" i="3" s="1"/>
  <c r="G24" i="3"/>
  <c r="I24" i="3" s="1"/>
  <c r="G23" i="3"/>
  <c r="I23" i="3" s="1"/>
  <c r="G22" i="3"/>
  <c r="I22" i="3" s="1"/>
  <c r="W58" i="1"/>
  <c r="V58" i="1"/>
  <c r="U58" i="1"/>
  <c r="S58" i="1"/>
  <c r="P58" i="1"/>
  <c r="O58" i="1"/>
  <c r="M58" i="1"/>
  <c r="L58" i="1"/>
  <c r="G58" i="1"/>
  <c r="H58" i="1" s="1"/>
  <c r="E58" i="1"/>
  <c r="F58" i="1" s="1"/>
  <c r="W57" i="1"/>
  <c r="V57" i="1"/>
  <c r="U57" i="1"/>
  <c r="S57" i="1"/>
  <c r="P57" i="1"/>
  <c r="O57" i="1"/>
  <c r="M57" i="1"/>
  <c r="L57" i="1"/>
  <c r="G57" i="1"/>
  <c r="H57" i="1" s="1"/>
  <c r="E57" i="1"/>
  <c r="F57" i="1" s="1"/>
  <c r="W54" i="1"/>
  <c r="V54" i="1"/>
  <c r="U54" i="1"/>
  <c r="S54" i="1"/>
  <c r="P54" i="1"/>
  <c r="O54" i="1"/>
  <c r="M54" i="1"/>
  <c r="L54" i="1"/>
  <c r="G54" i="1"/>
  <c r="H54" i="1" s="1"/>
  <c r="E54" i="1"/>
  <c r="F54" i="1" s="1"/>
  <c r="W55" i="1"/>
  <c r="V55" i="1"/>
  <c r="U55" i="1"/>
  <c r="S55" i="1"/>
  <c r="P55" i="1"/>
  <c r="O55" i="1"/>
  <c r="M55" i="1"/>
  <c r="L55" i="1"/>
  <c r="G55" i="1"/>
  <c r="H55" i="1" s="1"/>
  <c r="E55" i="1"/>
  <c r="F55" i="1" s="1"/>
  <c r="W50" i="1"/>
  <c r="V50" i="1"/>
  <c r="U50" i="1"/>
  <c r="S50" i="1"/>
  <c r="P50" i="1"/>
  <c r="O50" i="1"/>
  <c r="M50" i="1"/>
  <c r="L50" i="1"/>
  <c r="G50" i="1"/>
  <c r="H50" i="1" s="1"/>
  <c r="E50" i="1"/>
  <c r="F50" i="1" s="1"/>
  <c r="W51" i="1"/>
  <c r="V51" i="1"/>
  <c r="U51" i="1"/>
  <c r="S51" i="1"/>
  <c r="P51" i="1"/>
  <c r="O51" i="1"/>
  <c r="M51" i="1"/>
  <c r="L51" i="1"/>
  <c r="G51" i="1"/>
  <c r="H51" i="1" s="1"/>
  <c r="E51" i="1"/>
  <c r="F51" i="1" s="1"/>
  <c r="W52" i="1"/>
  <c r="V52" i="1"/>
  <c r="U52" i="1"/>
  <c r="S52" i="1"/>
  <c r="P52" i="1"/>
  <c r="O52" i="1"/>
  <c r="M52" i="1"/>
  <c r="L52" i="1"/>
  <c r="G52" i="1"/>
  <c r="H52" i="1" s="1"/>
  <c r="E52" i="1"/>
  <c r="F52" i="1" s="1"/>
  <c r="W53" i="1"/>
  <c r="V53" i="1"/>
  <c r="U53" i="1"/>
  <c r="S53" i="1"/>
  <c r="P53" i="1"/>
  <c r="O53" i="1"/>
  <c r="M53" i="1"/>
  <c r="L53" i="1"/>
  <c r="G53" i="1"/>
  <c r="H53" i="1" s="1"/>
  <c r="E53" i="1"/>
  <c r="F53" i="1" s="1"/>
  <c r="W56" i="1"/>
  <c r="V56" i="1"/>
  <c r="U56" i="1"/>
  <c r="S56" i="1"/>
  <c r="P56" i="1"/>
  <c r="O56" i="1"/>
  <c r="M56" i="1"/>
  <c r="L56" i="1"/>
  <c r="G56" i="1"/>
  <c r="H56" i="1" s="1"/>
  <c r="E56" i="1"/>
  <c r="F56" i="1" s="1"/>
  <c r="J11" i="3" l="1"/>
  <c r="G11" i="3"/>
  <c r="I11" i="3" s="1"/>
  <c r="J14" i="3"/>
  <c r="K14" i="3" s="1"/>
  <c r="I14" i="3"/>
  <c r="M14" i="3" s="1"/>
  <c r="G14" i="3"/>
  <c r="J4" i="3"/>
  <c r="G4" i="3"/>
  <c r="I29" i="3"/>
  <c r="G30" i="3" l="1"/>
  <c r="C32" i="3"/>
  <c r="M11" i="3"/>
  <c r="K11" i="3"/>
  <c r="K4" i="3"/>
  <c r="I4" i="3"/>
  <c r="M4" i="3" s="1"/>
  <c r="W49" i="1"/>
  <c r="V49" i="1"/>
  <c r="U49" i="1"/>
  <c r="S49" i="1"/>
  <c r="P49" i="1"/>
  <c r="O49" i="1"/>
  <c r="M49" i="1"/>
  <c r="L49" i="1"/>
  <c r="G49" i="1"/>
  <c r="H49" i="1" s="1"/>
  <c r="E49" i="1"/>
  <c r="F49" i="1" s="1"/>
  <c r="M7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5" i="1"/>
  <c r="M14" i="1"/>
  <c r="M13" i="1"/>
  <c r="M10" i="1"/>
  <c r="V10" i="1" s="1"/>
  <c r="M7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5" i="1"/>
  <c r="V14" i="1"/>
  <c r="V13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5" i="1"/>
  <c r="O14" i="1"/>
  <c r="O13" i="1"/>
  <c r="O10" i="1"/>
  <c r="O7" i="1"/>
  <c r="O79" i="1"/>
  <c r="W48" i="1"/>
  <c r="U48" i="1"/>
  <c r="S48" i="1"/>
  <c r="P48" i="1"/>
  <c r="L48" i="1"/>
  <c r="G48" i="1"/>
  <c r="H48" i="1" s="1"/>
  <c r="E48" i="1"/>
  <c r="F48" i="1" s="1"/>
  <c r="M15" i="3"/>
  <c r="G31" i="3" l="1"/>
  <c r="H31" i="3"/>
  <c r="D31" i="3"/>
  <c r="F31" i="3"/>
  <c r="E31" i="3"/>
  <c r="G7" i="2"/>
  <c r="W47" i="1"/>
  <c r="U47" i="1"/>
  <c r="S47" i="1"/>
  <c r="P47" i="1"/>
  <c r="L47" i="1"/>
  <c r="G47" i="1"/>
  <c r="H47" i="1" s="1"/>
  <c r="E47" i="1"/>
  <c r="F47" i="1" s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5" i="1"/>
  <c r="S14" i="1"/>
  <c r="S13" i="1"/>
  <c r="W46" i="1"/>
  <c r="U46" i="1"/>
  <c r="P46" i="1"/>
  <c r="L46" i="1"/>
  <c r="G46" i="1"/>
  <c r="H46" i="1" s="1"/>
  <c r="E46" i="1"/>
  <c r="F46" i="1" s="1"/>
  <c r="W30" i="1"/>
  <c r="U30" i="1"/>
  <c r="P30" i="1"/>
  <c r="L30" i="1"/>
  <c r="G30" i="1"/>
  <c r="H30" i="1" s="1"/>
  <c r="E30" i="1"/>
  <c r="F30" i="1" s="1"/>
  <c r="W45" i="1"/>
  <c r="U45" i="1"/>
  <c r="P45" i="1"/>
  <c r="G45" i="1"/>
  <c r="H45" i="1" s="1"/>
  <c r="L45" i="1" s="1"/>
  <c r="E45" i="1"/>
  <c r="F45" i="1" s="1"/>
  <c r="P13" i="1"/>
  <c r="G9" i="2" l="1"/>
  <c r="D8" i="6" s="1"/>
  <c r="F8" i="6" s="1"/>
  <c r="J8" i="6" s="1"/>
  <c r="L8" i="6" s="1"/>
  <c r="W10" i="1"/>
  <c r="W13" i="1"/>
  <c r="W14" i="1"/>
  <c r="W15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U13" i="1"/>
  <c r="U14" i="1"/>
  <c r="U15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V5" i="1"/>
  <c r="S5" i="1"/>
  <c r="P7" i="1" l="1"/>
  <c r="V7" i="1" s="1"/>
  <c r="P10" i="1"/>
  <c r="P14" i="1"/>
  <c r="P15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79" i="1"/>
  <c r="V79" i="1" l="1"/>
  <c r="L13" i="1"/>
  <c r="L14" i="1"/>
  <c r="L15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E7" i="1"/>
  <c r="F7" i="1" s="1"/>
  <c r="E10" i="1"/>
  <c r="E13" i="1"/>
  <c r="F13" i="1" s="1"/>
  <c r="E14" i="1"/>
  <c r="F14" i="1" s="1"/>
  <c r="E15" i="1"/>
  <c r="F15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79" i="1"/>
  <c r="F79" i="1" s="1"/>
  <c r="G79" i="1"/>
  <c r="H79" i="1" s="1"/>
  <c r="L79" i="1" s="1"/>
  <c r="U79" i="1" s="1"/>
  <c r="G44" i="1"/>
  <c r="H44" i="1" s="1"/>
  <c r="G43" i="1"/>
  <c r="H43" i="1" s="1"/>
  <c r="G42" i="1"/>
  <c r="H42" i="1" s="1"/>
  <c r="G41" i="1"/>
  <c r="H41" i="1" s="1"/>
  <c r="G40" i="1"/>
  <c r="H40" i="1" s="1"/>
  <c r="G39" i="1"/>
  <c r="H39" i="1" s="1"/>
  <c r="G38" i="1"/>
  <c r="H38" i="1" s="1"/>
  <c r="G37" i="1"/>
  <c r="H37" i="1" s="1"/>
  <c r="G36" i="1"/>
  <c r="H36" i="1" s="1"/>
  <c r="G35" i="1"/>
  <c r="H35" i="1" s="1"/>
  <c r="G34" i="1"/>
  <c r="H34" i="1" s="1"/>
  <c r="G33" i="1"/>
  <c r="H33" i="1" s="1"/>
  <c r="G32" i="1"/>
  <c r="H32" i="1" s="1"/>
  <c r="G31" i="1"/>
  <c r="H31" i="1" s="1"/>
  <c r="G29" i="1"/>
  <c r="H29" i="1" s="1"/>
  <c r="G28" i="1"/>
  <c r="H28" i="1" s="1"/>
  <c r="G27" i="1"/>
  <c r="H27" i="1" s="1"/>
  <c r="G26" i="1"/>
  <c r="H26" i="1" s="1"/>
  <c r="G25" i="1"/>
  <c r="H25" i="1" s="1"/>
  <c r="G24" i="1"/>
  <c r="H24" i="1" s="1"/>
  <c r="G23" i="1"/>
  <c r="H23" i="1" s="1"/>
  <c r="G22" i="1"/>
  <c r="H22" i="1" s="1"/>
  <c r="G21" i="1"/>
  <c r="H21" i="1" s="1"/>
  <c r="G20" i="1"/>
  <c r="H20" i="1" s="1"/>
  <c r="G19" i="1"/>
  <c r="H19" i="1" s="1"/>
  <c r="G18" i="1"/>
  <c r="H18" i="1" s="1"/>
  <c r="G17" i="1"/>
  <c r="H17" i="1" s="1"/>
  <c r="G15" i="1"/>
  <c r="H15" i="1" s="1"/>
  <c r="G14" i="1"/>
  <c r="H14" i="1" s="1"/>
  <c r="G13" i="1"/>
  <c r="H13" i="1" s="1"/>
  <c r="G10" i="1"/>
  <c r="H10" i="1" s="1"/>
  <c r="G7" i="1"/>
  <c r="V80" i="1"/>
  <c r="H7" i="1" l="1"/>
  <c r="L7" i="1" s="1"/>
  <c r="S7" i="1" s="1"/>
  <c r="U7" i="1" s="1"/>
  <c r="S79" i="1"/>
  <c r="W79" i="1"/>
  <c r="W7" i="1"/>
  <c r="F10" i="1"/>
  <c r="L10" i="1" s="1"/>
  <c r="S10" i="1" s="1"/>
  <c r="U10" i="1" s="1"/>
  <c r="U80" i="1"/>
  <c r="W80" i="1"/>
  <c r="S80" i="1"/>
  <c r="E3" i="5" l="1"/>
  <c r="F7" i="6"/>
  <c r="D7" i="6"/>
  <c r="J7" i="6" s="1"/>
  <c r="D3" i="5"/>
  <c r="F32" i="3"/>
  <c r="E32" i="3"/>
  <c r="G32" i="3" s="1"/>
  <c r="G33" i="3" s="1"/>
  <c r="F13" i="6" l="1"/>
  <c r="D13" i="6"/>
  <c r="L7" i="6"/>
  <c r="F9" i="6"/>
  <c r="J18" i="6"/>
  <c r="D9" i="6"/>
  <c r="H32" i="3"/>
  <c r="J42" i="3"/>
  <c r="D11" i="6" s="1"/>
  <c r="H33" i="3" l="1"/>
  <c r="K42" i="3" s="1"/>
  <c r="F11" i="6" s="1"/>
  <c r="D22" i="6"/>
  <c r="J11" i="6"/>
  <c r="L13" i="6"/>
  <c r="J13" i="6"/>
  <c r="L9" i="6"/>
  <c r="L18" i="6"/>
  <c r="J9" i="6"/>
  <c r="D14" i="6"/>
  <c r="L11" i="6" l="1"/>
  <c r="L22" i="6" s="1"/>
  <c r="M22" i="6" s="1"/>
  <c r="F22" i="6"/>
  <c r="F14" i="6"/>
  <c r="F15" i="6" s="1"/>
  <c r="F16" i="6" s="1"/>
  <c r="J22" i="6"/>
  <c r="K22" i="6" s="1"/>
  <c r="L21" i="6"/>
  <c r="M21" i="6" s="1"/>
  <c r="J21" i="6"/>
  <c r="K21" i="6" s="1"/>
  <c r="J14" i="6"/>
  <c r="J17" i="6" s="1"/>
  <c r="J24" i="6" s="1"/>
  <c r="D15" i="6"/>
  <c r="D16" i="6" s="1"/>
  <c r="L14" i="6" l="1"/>
  <c r="L17" i="6" s="1"/>
  <c r="L24" i="6" s="1"/>
  <c r="M24" i="6" s="1"/>
  <c r="L27" i="6" s="1"/>
  <c r="L28" i="6" s="1"/>
  <c r="K24" i="6"/>
  <c r="J27" i="6" s="1"/>
  <c r="J28" i="6" s="1"/>
  <c r="L23" i="6"/>
  <c r="M23" i="6" s="1"/>
  <c r="J23" i="6"/>
  <c r="K23" i="6" s="1"/>
  <c r="F17" i="6"/>
  <c r="F24" i="6" s="1"/>
  <c r="D17" i="6"/>
  <c r="D24" i="6" s="1"/>
  <c r="L25" i="6" l="1"/>
  <c r="M25" i="6" s="1"/>
  <c r="J25" i="6"/>
  <c r="K25" i="6" s="1"/>
  <c r="F18" i="6"/>
  <c r="D18" i="6"/>
  <c r="E22" i="6" s="1"/>
  <c r="G22" i="6" l="1"/>
  <c r="D19" i="6"/>
  <c r="F19" i="6"/>
  <c r="F21" i="6"/>
  <c r="G24" i="6" s="1"/>
  <c r="D21" i="6"/>
  <c r="E24" i="6" s="1"/>
  <c r="E21" i="6" l="1"/>
  <c r="G21" i="6"/>
  <c r="F23" i="6"/>
  <c r="G23" i="6" s="1"/>
  <c r="D23" i="6"/>
  <c r="E23" i="6" s="1"/>
  <c r="D27" i="6"/>
  <c r="D28" i="6" s="1"/>
  <c r="F27" i="6"/>
  <c r="F28" i="6" s="1"/>
  <c r="F25" i="6" l="1"/>
  <c r="G25" i="6" s="1"/>
  <c r="D25" i="6"/>
  <c r="E25" i="6" s="1"/>
</calcChain>
</file>

<file path=xl/sharedStrings.xml><?xml version="1.0" encoding="utf-8"?>
<sst xmlns="http://schemas.openxmlformats.org/spreadsheetml/2006/main" count="310" uniqueCount="184">
  <si>
    <t>Décapage au mouillé - Récurage</t>
  </si>
  <si>
    <t>cadences au m²</t>
  </si>
  <si>
    <t>cadences spécifiques (intégration manuelle)</t>
  </si>
  <si>
    <t>surface technique (m²)</t>
  </si>
  <si>
    <t>temps par prestation en heure (selon encombrement)</t>
  </si>
  <si>
    <t>temps par prestation en heures (spécifique)</t>
  </si>
  <si>
    <t>Décapage à sec</t>
  </si>
  <si>
    <t>Application d'une protection (Faubert rayonne)</t>
  </si>
  <si>
    <t>Cristallisation</t>
  </si>
  <si>
    <t>Rénovation</t>
  </si>
  <si>
    <t>Scellant polyuréthanne par couche</t>
  </si>
  <si>
    <t>Balayage humide journalier, surfaces encombrées</t>
  </si>
  <si>
    <t>Balayage humide journalier, surfaces dégagées</t>
  </si>
  <si>
    <t>Lavage faubert journalier surfaces dégagées</t>
  </si>
  <si>
    <t>Lavage journalier, système lavage à plat</t>
  </si>
  <si>
    <t>Spray Hebdomadaire 150 tr/min sur sols traités</t>
  </si>
  <si>
    <t>Spray Hebdomadaire 450 tr/min sur sols traités</t>
  </si>
  <si>
    <t>Lustrage 1000 tr/min</t>
  </si>
  <si>
    <t>Remise en état complète (décapage, bouches pores, métanisation)</t>
  </si>
  <si>
    <t>Nettoyage de bureau (corbeille, cendrier, essuyage de mobilier)</t>
  </si>
  <si>
    <t xml:space="preserve">Aspiration moquette - journalier </t>
  </si>
  <si>
    <t>Shampoing monobrosse (mousse humide)</t>
  </si>
  <si>
    <t>Shampoing monobrosse (mousse sèche)</t>
  </si>
  <si>
    <t>Spray moquette (entretien)</t>
  </si>
  <si>
    <t>Nettoyage par injection-extraction (surfaces dégagées)</t>
  </si>
  <si>
    <t>Nettoyage par injection-extraction (surfaces encombrées)</t>
  </si>
  <si>
    <t>Nettoyage des sanitaires (lavabos, cuvettes, sols)</t>
  </si>
  <si>
    <t>Entretien vitrerie, grands carreaux, jusqu'à 3,5 m du sol</t>
  </si>
  <si>
    <t>Entretien vitrerie, petits carreaux, jusqu'à 3,5 m du sol</t>
  </si>
  <si>
    <t>Entretien vitrerie, grands carreaux, au dessus de 3,5 m</t>
  </si>
  <si>
    <t>Entretien vitrerie, petits carreaux, au dessus de 3,5 m</t>
  </si>
  <si>
    <t>lavage, récurage d'un sol dur + aspiration</t>
  </si>
  <si>
    <t>Lavage autolaveuse normale</t>
  </si>
  <si>
    <t>Lavage autolaveuse à recyclage</t>
  </si>
  <si>
    <t>Balayage mécanique (1=600 min), conducteur accompagnant</t>
  </si>
  <si>
    <t>Balayage mécanique, conducteur porté</t>
  </si>
  <si>
    <t>Bionettoyage du mobilier et du sol</t>
  </si>
  <si>
    <t>choix type d'encombrement (Faible/Fort)</t>
  </si>
  <si>
    <t xml:space="preserve">encombrement fort </t>
  </si>
  <si>
    <t xml:space="preserve">encombrement faible </t>
  </si>
  <si>
    <t>Type de Prestations</t>
  </si>
  <si>
    <t>Cadenciers Techniques Moyens</t>
  </si>
  <si>
    <t>Type de Prestations Standards</t>
  </si>
  <si>
    <t>Fréquence</t>
  </si>
  <si>
    <t>Majoration Dimanche</t>
  </si>
  <si>
    <t>Temps de déplacement</t>
  </si>
  <si>
    <t>O/N</t>
  </si>
  <si>
    <t>Indiquer le temps par rotation (AR)</t>
  </si>
  <si>
    <t>Total Temps</t>
  </si>
  <si>
    <t>Zones</t>
  </si>
  <si>
    <t>Sites</t>
  </si>
  <si>
    <t>Double-clique sur avant dernière ligne pour ajout de ligne supplémentaire</t>
  </si>
  <si>
    <t>Click</t>
  </si>
  <si>
    <t>Taux de charges patronales</t>
  </si>
  <si>
    <t>Prime de Vie Chère</t>
  </si>
  <si>
    <t>Prime de Flexibilité</t>
  </si>
  <si>
    <t>base uebs</t>
  </si>
  <si>
    <t>taux uebs</t>
  </si>
  <si>
    <t>Total Cout Salarial et Patronal</t>
  </si>
  <si>
    <t>Taux de taxes / Salaires</t>
  </si>
  <si>
    <t>Fréquence Calculée Annuelle (En Jours)</t>
  </si>
  <si>
    <t>Taux d'expérience</t>
  </si>
  <si>
    <t>Prime d'études</t>
  </si>
  <si>
    <t>nombre d'heures mensuelles</t>
  </si>
  <si>
    <t>Matériel</t>
  </si>
  <si>
    <t>Quantité</t>
  </si>
  <si>
    <t>Prix Unitaire</t>
  </si>
  <si>
    <t>Total</t>
  </si>
  <si>
    <t>click</t>
  </si>
  <si>
    <t>Durée Technique d'amortissement (An)</t>
  </si>
  <si>
    <t>Amortissement Annuel Calculé (Comptable)</t>
  </si>
  <si>
    <t>Nombre d'heures Techniques de Travail</t>
  </si>
  <si>
    <t>Machines sur Site</t>
  </si>
  <si>
    <t>Liste et Type</t>
  </si>
  <si>
    <t>Amortissement Comptable Sur Site (Par Heure)</t>
  </si>
  <si>
    <t>Temps Utilisation Machine sur Site</t>
  </si>
  <si>
    <t>Montant Annuel Amortissement Sur Marché</t>
  </si>
  <si>
    <t>Fréquence Aprovisionnement</t>
  </si>
  <si>
    <t>Type d'Unité</t>
  </si>
  <si>
    <t>Produits sur Site</t>
  </si>
  <si>
    <t>Temps Global Calculé (en heures)</t>
  </si>
  <si>
    <t>Temps Calculé avec Intégration Congés Payés (en heures)</t>
  </si>
  <si>
    <t>Gestion Véhicule</t>
  </si>
  <si>
    <t>Besoin Véhicule</t>
  </si>
  <si>
    <t>Type Véhicule</t>
  </si>
  <si>
    <t>Nombre Véhicule</t>
  </si>
  <si>
    <t>Taux d'utilisation Annuelle</t>
  </si>
  <si>
    <t>Cout Imputation Annuelle</t>
  </si>
  <si>
    <t>Cout Complet Annuel Revient Véhicule</t>
  </si>
  <si>
    <t>Montant Annuel Produits et Consommbales</t>
  </si>
  <si>
    <t>Total Couts Variables</t>
  </si>
  <si>
    <t>Charges Fixes Spécifiques</t>
  </si>
  <si>
    <t>Montant Charges Fixes (Encombrement)</t>
  </si>
  <si>
    <t>Montant Charges Fixes (Spécifique)</t>
  </si>
  <si>
    <t>Taux de Charges Fixes / Salaires (Entreprise)</t>
  </si>
  <si>
    <t>Tableau de Calcul de Résultat</t>
  </si>
  <si>
    <t>Selon Encombrement</t>
  </si>
  <si>
    <t>Selon Taux Horaire Souhaité</t>
  </si>
  <si>
    <t>Nombre d'Heures</t>
  </si>
  <si>
    <t>Taux Horaire</t>
  </si>
  <si>
    <t>Couts Variables</t>
  </si>
  <si>
    <t>Couts Salariaux</t>
  </si>
  <si>
    <t>Selon Cadencier Spécifique</t>
  </si>
  <si>
    <t>Total Couts Salariaux</t>
  </si>
  <si>
    <t>Couts Fixes Spécifiques</t>
  </si>
  <si>
    <t>Total Couts Fixes Spécifiques</t>
  </si>
  <si>
    <t>Total Couts</t>
  </si>
  <si>
    <t>Marge Souhaitée</t>
  </si>
  <si>
    <t>Prix de Vente</t>
  </si>
  <si>
    <t>Couts Fixes Communs</t>
  </si>
  <si>
    <t>CA Calculé</t>
  </si>
  <si>
    <t>PV Horaire</t>
  </si>
  <si>
    <t>Prix de Vente Horaire Souhaité</t>
  </si>
  <si>
    <t>Selon Cadencier  Spécifique</t>
  </si>
  <si>
    <t>Résultat</t>
  </si>
  <si>
    <t>Chiffre d'Affaires</t>
  </si>
  <si>
    <t>Seuil de Rentabilité</t>
  </si>
  <si>
    <t>Marge / Couts Variables</t>
  </si>
  <si>
    <t>Charges Fixes</t>
  </si>
  <si>
    <t>Seuile de Rentabilité (En PV Hor)</t>
  </si>
  <si>
    <t>Filière d'exploitation</t>
  </si>
  <si>
    <t>Niveau</t>
  </si>
  <si>
    <t>Echelon</t>
  </si>
  <si>
    <t>Maitrise MP</t>
  </si>
  <si>
    <t>MP5</t>
  </si>
  <si>
    <t>MP4</t>
  </si>
  <si>
    <t>MP3</t>
  </si>
  <si>
    <t>MP2</t>
  </si>
  <si>
    <t>MP1</t>
  </si>
  <si>
    <t>Chef d'équipe CE</t>
  </si>
  <si>
    <t>ATQS</t>
  </si>
  <si>
    <t>AQS</t>
  </si>
  <si>
    <t>AS</t>
  </si>
  <si>
    <t>Filière administrative</t>
  </si>
  <si>
    <t>Maitrise MA</t>
  </si>
  <si>
    <t>MA3</t>
  </si>
  <si>
    <t>MA2</t>
  </si>
  <si>
    <t>MA1</t>
  </si>
  <si>
    <t>Employes EA</t>
  </si>
  <si>
    <t>EA4</t>
  </si>
  <si>
    <t>EA3</t>
  </si>
  <si>
    <t>EA2</t>
  </si>
  <si>
    <t>EA1</t>
  </si>
  <si>
    <t>Filière cadre</t>
  </si>
  <si>
    <t>Cadres CA</t>
  </si>
  <si>
    <t>CA6</t>
  </si>
  <si>
    <t>CA5</t>
  </si>
  <si>
    <t>CA4</t>
  </si>
  <si>
    <t>CA3</t>
  </si>
  <si>
    <t>CA2</t>
  </si>
  <si>
    <t>CA1</t>
  </si>
  <si>
    <t>CE3</t>
  </si>
  <si>
    <t>CE2</t>
  </si>
  <si>
    <t>CE1</t>
  </si>
  <si>
    <t>ATQS3B</t>
  </si>
  <si>
    <t>ATQS3A</t>
  </si>
  <si>
    <t>ATQS2B</t>
  </si>
  <si>
    <t>ATQS2A</t>
  </si>
  <si>
    <t>ATQS1B</t>
  </si>
  <si>
    <t>ATQS1A</t>
  </si>
  <si>
    <t>AQS3B</t>
  </si>
  <si>
    <t>AQS3A</t>
  </si>
  <si>
    <t>AQS2B</t>
  </si>
  <si>
    <t>AQS2A</t>
  </si>
  <si>
    <t>AQS1B</t>
  </si>
  <si>
    <t>AQS1A</t>
  </si>
  <si>
    <t>AS3B</t>
  </si>
  <si>
    <t>AS3A</t>
  </si>
  <si>
    <t>AS2B</t>
  </si>
  <si>
    <t>AS2A</t>
  </si>
  <si>
    <t>AS1B</t>
  </si>
  <si>
    <t>AS1A</t>
  </si>
  <si>
    <t>Mensualisation</t>
  </si>
  <si>
    <t>Sélection Qualification</t>
  </si>
  <si>
    <t>Sélection Taux Horaire</t>
  </si>
  <si>
    <t>Produits et Consommables (Détail)</t>
  </si>
  <si>
    <t>Calcul de Base</t>
  </si>
  <si>
    <t>Oui</t>
  </si>
  <si>
    <t>Non</t>
  </si>
  <si>
    <t>Entretien journalier de chambre d'hôtel(nombre de chambres à l'heure)</t>
  </si>
  <si>
    <t>Pose couche d'émulsion</t>
  </si>
  <si>
    <t>Entretien d'un couloir</t>
  </si>
  <si>
    <t>Entretien de salles de classes</t>
  </si>
  <si>
    <t>Entretien de cages d'escaliers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</si>
</sst>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3" x14ac:knownFonts="1">
    <font>
      <sz val="8"/>
      <color theme="1"/>
      <name val="Calibri"/>
      <family val="2"/>
    </font>
    <font>
      <sz val="8"/>
      <color theme="1"/>
      <name val="Calibri"/>
      <family val="2"/>
    </font>
    <font>
      <sz val="8"/>
      <color rgb="FF9C0006"/>
      <name val="Calibri"/>
      <family val="2"/>
    </font>
    <font>
      <b/>
      <u/>
      <sz val="8"/>
      <color theme="1"/>
      <name val="Calibri"/>
      <family val="2"/>
    </font>
    <font>
      <b/>
      <u/>
      <sz val="9"/>
      <color theme="1"/>
      <name val="Calibri"/>
      <family val="2"/>
    </font>
    <font>
      <b/>
      <u/>
      <sz val="12"/>
      <color theme="1"/>
      <name val="Calibri"/>
      <family val="2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b/>
      <sz val="8"/>
      <color theme="1"/>
      <name val="Calibri"/>
      <family val="2"/>
    </font>
    <font>
      <b/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4"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3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43" fontId="8" fillId="0" borderId="0" xfId="0" applyNumberFormat="1" applyFont="1"/>
    <xf numFmtId="0" fontId="0" fillId="0" borderId="0" xfId="0" applyAlignment="1">
      <alignment horizontal="center" vertical="center" wrapText="1"/>
    </xf>
    <xf numFmtId="0" fontId="0" fillId="0" borderId="0" xfId="0" applyProtection="1"/>
    <xf numFmtId="0" fontId="0" fillId="0" borderId="0" xfId="0" applyAlignment="1">
      <alignment horizontal="center"/>
    </xf>
    <xf numFmtId="0" fontId="12" fillId="0" borderId="0" xfId="0" applyFont="1" applyAlignment="1">
      <alignment vertical="center"/>
    </xf>
    <xf numFmtId="0" fontId="0" fillId="0" borderId="1" xfId="0" applyBorder="1" applyAlignment="1">
      <alignment horizontal="center"/>
    </xf>
    <xf numFmtId="43" fontId="0" fillId="0" borderId="1" xfId="1" applyFont="1" applyBorder="1"/>
    <xf numFmtId="43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Protection="1">
      <protection locked="0"/>
    </xf>
    <xf numFmtId="0" fontId="0" fillId="0" borderId="1" xfId="0" applyFont="1" applyFill="1" applyBorder="1" applyAlignment="1" applyProtection="1">
      <alignment horizontal="center"/>
      <protection locked="0"/>
    </xf>
    <xf numFmtId="43" fontId="2" fillId="0" borderId="1" xfId="1" applyFont="1" applyFill="1" applyBorder="1" applyProtection="1">
      <protection locked="0"/>
    </xf>
    <xf numFmtId="43" fontId="0" fillId="2" borderId="1" xfId="1" applyFont="1" applyFill="1" applyBorder="1"/>
    <xf numFmtId="9" fontId="0" fillId="0" borderId="1" xfId="2" applyFont="1" applyBorder="1"/>
    <xf numFmtId="0" fontId="0" fillId="0" borderId="1" xfId="1" applyNumberFormat="1" applyFont="1" applyBorder="1" applyProtection="1">
      <protection locked="0"/>
    </xf>
    <xf numFmtId="43" fontId="0" fillId="0" borderId="1" xfId="1" applyFont="1" applyBorder="1" applyProtection="1">
      <protection locked="0"/>
    </xf>
    <xf numFmtId="43" fontId="2" fillId="0" borderId="1" xfId="1" quotePrefix="1" applyFont="1" applyFill="1" applyBorder="1" applyProtection="1">
      <protection locked="0"/>
    </xf>
    <xf numFmtId="9" fontId="0" fillId="0" borderId="4" xfId="2" applyFont="1" applyBorder="1"/>
    <xf numFmtId="0" fontId="0" fillId="0" borderId="6" xfId="0" applyBorder="1" applyProtection="1">
      <protection locked="0"/>
    </xf>
    <xf numFmtId="43" fontId="0" fillId="0" borderId="7" xfId="1" applyFont="1" applyBorder="1"/>
    <xf numFmtId="0" fontId="9" fillId="6" borderId="8" xfId="0" applyFont="1" applyFill="1" applyBorder="1"/>
    <xf numFmtId="0" fontId="9" fillId="6" borderId="9" xfId="0" applyFont="1" applyFill="1" applyBorder="1"/>
    <xf numFmtId="0" fontId="9" fillId="6" borderId="9" xfId="0" applyFont="1" applyFill="1" applyBorder="1" applyAlignment="1">
      <alignment horizontal="center"/>
    </xf>
    <xf numFmtId="43" fontId="10" fillId="6" borderId="9" xfId="1" applyFont="1" applyFill="1" applyBorder="1"/>
    <xf numFmtId="43" fontId="10" fillId="6" borderId="10" xfId="1" applyFont="1" applyFill="1" applyBorder="1"/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43" fontId="0" fillId="0" borderId="15" xfId="1" applyFont="1" applyBorder="1"/>
    <xf numFmtId="0" fontId="0" fillId="0" borderId="15" xfId="0" applyFont="1" applyFill="1" applyBorder="1" applyAlignment="1" applyProtection="1">
      <alignment horizontal="center"/>
      <protection locked="0"/>
    </xf>
    <xf numFmtId="43" fontId="2" fillId="0" borderId="15" xfId="1" applyFont="1" applyFill="1" applyBorder="1" applyProtection="1">
      <protection locked="0"/>
    </xf>
    <xf numFmtId="43" fontId="0" fillId="2" borderId="15" xfId="1" applyFont="1" applyFill="1" applyBorder="1"/>
    <xf numFmtId="9" fontId="0" fillId="0" borderId="15" xfId="2" applyFont="1" applyBorder="1"/>
    <xf numFmtId="0" fontId="0" fillId="0" borderId="15" xfId="1" applyNumberFormat="1" applyFont="1" applyBorder="1" applyProtection="1">
      <protection locked="0"/>
    </xf>
    <xf numFmtId="43" fontId="0" fillId="0" borderId="15" xfId="1" applyFont="1" applyBorder="1" applyProtection="1">
      <protection locked="0"/>
    </xf>
    <xf numFmtId="43" fontId="0" fillId="0" borderId="16" xfId="1" applyFont="1" applyBorder="1"/>
    <xf numFmtId="0" fontId="0" fillId="0" borderId="1" xfId="0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Border="1" applyAlignment="1">
      <alignment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" xfId="0" applyBorder="1"/>
    <xf numFmtId="0" fontId="0" fillId="0" borderId="24" xfId="0" applyBorder="1"/>
    <xf numFmtId="43" fontId="6" fillId="0" borderId="1" xfId="1" applyFont="1" applyBorder="1"/>
    <xf numFmtId="0" fontId="6" fillId="0" borderId="6" xfId="0" applyFont="1" applyBorder="1"/>
    <xf numFmtId="43" fontId="6" fillId="0" borderId="7" xfId="1" applyFont="1" applyBorder="1"/>
    <xf numFmtId="43" fontId="6" fillId="0" borderId="7" xfId="0" applyNumberFormat="1" applyFont="1" applyBorder="1"/>
    <xf numFmtId="0" fontId="6" fillId="0" borderId="8" xfId="0" applyFont="1" applyBorder="1"/>
    <xf numFmtId="43" fontId="6" fillId="0" borderId="9" xfId="1" applyFont="1" applyBorder="1"/>
    <xf numFmtId="43" fontId="6" fillId="0" borderId="10" xfId="0" applyNumberFormat="1" applyFont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3" fontId="0" fillId="0" borderId="7" xfId="0" applyNumberFormat="1" applyBorder="1"/>
    <xf numFmtId="0" fontId="0" fillId="0" borderId="9" xfId="0" applyBorder="1" applyAlignment="1">
      <alignment horizontal="center"/>
    </xf>
    <xf numFmtId="43" fontId="0" fillId="0" borderId="10" xfId="0" applyNumberFormat="1" applyBorder="1"/>
    <xf numFmtId="43" fontId="0" fillId="0" borderId="3" xfId="1" applyFont="1" applyBorder="1"/>
    <xf numFmtId="43" fontId="0" fillId="0" borderId="6" xfId="1" applyFont="1" applyBorder="1"/>
    <xf numFmtId="43" fontId="0" fillId="0" borderId="8" xfId="1" applyFont="1" applyBorder="1"/>
    <xf numFmtId="0" fontId="0" fillId="0" borderId="1" xfId="0" applyBorder="1" applyAlignment="1" applyProtection="1">
      <alignment horizontal="center"/>
      <protection locked="0"/>
    </xf>
    <xf numFmtId="43" fontId="0" fillId="0" borderId="1" xfId="1" applyFont="1" applyBorder="1" applyProtection="1"/>
    <xf numFmtId="0" fontId="0" fillId="0" borderId="1" xfId="0" applyBorder="1"/>
    <xf numFmtId="10" fontId="0" fillId="0" borderId="1" xfId="2" applyNumberFormat="1" applyFont="1" applyBorder="1" applyAlignment="1">
      <alignment horizontal="right"/>
    </xf>
    <xf numFmtId="10" fontId="0" fillId="0" borderId="1" xfId="2" applyNumberFormat="1" applyFont="1" applyBorder="1"/>
    <xf numFmtId="10" fontId="0" fillId="0" borderId="1" xfId="2" applyNumberFormat="1" applyFont="1" applyBorder="1" applyAlignment="1" applyProtection="1">
      <alignment horizontal="right"/>
      <protection locked="0"/>
    </xf>
    <xf numFmtId="9" fontId="0" fillId="0" borderId="1" xfId="2" applyFont="1" applyBorder="1" applyProtection="1">
      <protection locked="0"/>
    </xf>
    <xf numFmtId="9" fontId="0" fillId="0" borderId="1" xfId="0" applyNumberFormat="1" applyBorder="1" applyProtection="1">
      <protection locked="0"/>
    </xf>
    <xf numFmtId="43" fontId="12" fillId="0" borderId="1" xfId="1" applyFont="1" applyBorder="1"/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/>
    <xf numFmtId="43" fontId="0" fillId="0" borderId="7" xfId="1" applyFont="1" applyBorder="1" applyProtection="1"/>
    <xf numFmtId="0" fontId="0" fillId="0" borderId="8" xfId="0" applyBorder="1"/>
    <xf numFmtId="0" fontId="0" fillId="0" borderId="9" xfId="1" applyNumberFormat="1" applyFont="1" applyBorder="1" applyProtection="1">
      <protection locked="0"/>
    </xf>
    <xf numFmtId="43" fontId="0" fillId="0" borderId="9" xfId="1" applyFont="1" applyBorder="1" applyProtection="1">
      <protection locked="0"/>
    </xf>
    <xf numFmtId="43" fontId="0" fillId="0" borderId="9" xfId="1" applyFont="1" applyBorder="1"/>
    <xf numFmtId="43" fontId="0" fillId="0" borderId="9" xfId="0" applyNumberFormat="1" applyBorder="1"/>
    <xf numFmtId="9" fontId="0" fillId="0" borderId="9" xfId="2" applyFont="1" applyBorder="1" applyProtection="1">
      <protection locked="0"/>
    </xf>
    <xf numFmtId="43" fontId="0" fillId="0" borderId="10" xfId="1" applyFont="1" applyBorder="1" applyProtection="1"/>
    <xf numFmtId="43" fontId="0" fillId="0" borderId="2" xfId="1" applyFont="1" applyBorder="1"/>
    <xf numFmtId="43" fontId="0" fillId="0" borderId="9" xfId="1" applyFont="1" applyBorder="1" applyProtection="1"/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0" fontId="0" fillId="0" borderId="8" xfId="2" applyNumberFormat="1" applyFont="1" applyBorder="1" applyAlignment="1" applyProtection="1">
      <alignment horizontal="center" vertical="center"/>
      <protection locked="0"/>
    </xf>
    <xf numFmtId="43" fontId="0" fillId="0" borderId="9" xfId="1" applyFont="1" applyBorder="1" applyAlignment="1">
      <alignment horizontal="center" vertical="center"/>
    </xf>
    <xf numFmtId="43" fontId="0" fillId="0" borderId="9" xfId="1" applyFont="1" applyBorder="1" applyAlignment="1">
      <alignment horizontal="center" vertical="center" wrapText="1"/>
    </xf>
    <xf numFmtId="43" fontId="0" fillId="0" borderId="10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3" fontId="0" fillId="0" borderId="11" xfId="1" applyFont="1" applyBorder="1" applyAlignment="1">
      <alignment horizontal="center" vertical="center"/>
    </xf>
    <xf numFmtId="43" fontId="0" fillId="0" borderId="13" xfId="1" applyFont="1" applyBorder="1" applyAlignment="1">
      <alignment horizontal="center" vertical="center"/>
    </xf>
    <xf numFmtId="0" fontId="0" fillId="0" borderId="4" xfId="0" applyBorder="1"/>
    <xf numFmtId="43" fontId="0" fillId="0" borderId="4" xfId="1" applyFont="1" applyBorder="1" applyAlignment="1">
      <alignment horizontal="center" vertical="center" wrapText="1"/>
    </xf>
    <xf numFmtId="0" fontId="0" fillId="0" borderId="8" xfId="0" applyBorder="1" applyAlignment="1" applyProtection="1">
      <alignment horizontal="center"/>
      <protection locked="0"/>
    </xf>
    <xf numFmtId="0" fontId="0" fillId="0" borderId="28" xfId="0" applyBorder="1" applyProtection="1">
      <protection locked="0"/>
    </xf>
    <xf numFmtId="43" fontId="0" fillId="0" borderId="28" xfId="1" applyFont="1" applyBorder="1" applyProtection="1">
      <protection locked="0"/>
    </xf>
    <xf numFmtId="9" fontId="0" fillId="0" borderId="28" xfId="2" applyFont="1" applyBorder="1" applyProtection="1">
      <protection locked="0"/>
    </xf>
    <xf numFmtId="43" fontId="8" fillId="0" borderId="29" xfId="1" applyFont="1" applyBorder="1"/>
    <xf numFmtId="43" fontId="0" fillId="0" borderId="23" xfId="1" applyFont="1" applyBorder="1" applyProtection="1">
      <protection locked="0"/>
    </xf>
    <xf numFmtId="0" fontId="0" fillId="0" borderId="23" xfId="0" applyBorder="1" applyProtection="1">
      <protection locked="0"/>
    </xf>
    <xf numFmtId="43" fontId="0" fillId="0" borderId="23" xfId="1" applyFont="1" applyBorder="1" applyProtection="1"/>
    <xf numFmtId="43" fontId="8" fillId="0" borderId="30" xfId="1" applyFont="1" applyBorder="1" applyProtection="1"/>
    <xf numFmtId="0" fontId="0" fillId="0" borderId="17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/>
    </xf>
    <xf numFmtId="0" fontId="0" fillId="0" borderId="18" xfId="0" applyBorder="1" applyProtection="1"/>
    <xf numFmtId="0" fontId="0" fillId="0" borderId="19" xfId="0" applyBorder="1" applyAlignment="1" applyProtection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3" fontId="12" fillId="0" borderId="8" xfId="0" applyNumberFormat="1" applyFont="1" applyBorder="1" applyAlignment="1">
      <alignment vertical="center" wrapText="1"/>
    </xf>
    <xf numFmtId="43" fontId="12" fillId="0" borderId="10" xfId="0" applyNumberFormat="1" applyFont="1" applyBorder="1" applyAlignment="1">
      <alignment vertical="center" wrapText="1"/>
    </xf>
    <xf numFmtId="10" fontId="0" fillId="0" borderId="9" xfId="2" applyNumberFormat="1" applyFont="1" applyBorder="1" applyProtection="1">
      <protection locked="0"/>
    </xf>
    <xf numFmtId="43" fontId="0" fillId="0" borderId="10" xfId="1" applyFont="1" applyBorder="1"/>
    <xf numFmtId="0" fontId="3" fillId="0" borderId="2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 wrapText="1"/>
    </xf>
    <xf numFmtId="0" fontId="0" fillId="0" borderId="26" xfId="0" applyBorder="1"/>
    <xf numFmtId="0" fontId="3" fillId="0" borderId="26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10" fontId="0" fillId="0" borderId="11" xfId="2" applyNumberFormat="1" applyFont="1" applyFill="1" applyBorder="1" applyProtection="1">
      <protection locked="0"/>
    </xf>
    <xf numFmtId="0" fontId="3" fillId="0" borderId="27" xfId="0" applyFont="1" applyBorder="1" applyAlignment="1">
      <alignment horizontal="center" vertical="center"/>
    </xf>
    <xf numFmtId="0" fontId="0" fillId="0" borderId="25" xfId="0" applyBorder="1"/>
    <xf numFmtId="43" fontId="8" fillId="0" borderId="27" xfId="0" applyNumberFormat="1" applyFont="1" applyBorder="1"/>
    <xf numFmtId="9" fontId="8" fillId="0" borderId="1" xfId="2" applyFont="1" applyBorder="1"/>
    <xf numFmtId="43" fontId="0" fillId="0" borderId="25" xfId="0" applyNumberFormat="1" applyBorder="1"/>
    <xf numFmtId="43" fontId="0" fillId="0" borderId="26" xfId="0" applyNumberFormat="1" applyBorder="1"/>
    <xf numFmtId="43" fontId="0" fillId="0" borderId="27" xfId="1" applyFont="1" applyBorder="1"/>
    <xf numFmtId="43" fontId="0" fillId="0" borderId="2" xfId="0" applyNumberFormat="1" applyBorder="1"/>
    <xf numFmtId="0" fontId="0" fillId="0" borderId="3" xfId="0" applyBorder="1"/>
    <xf numFmtId="10" fontId="0" fillId="0" borderId="4" xfId="0" applyNumberFormat="1" applyBorder="1"/>
    <xf numFmtId="43" fontId="0" fillId="0" borderId="5" xfId="0" applyNumberFormat="1" applyBorder="1"/>
    <xf numFmtId="43" fontId="8" fillId="0" borderId="8" xfId="0" applyNumberFormat="1" applyFont="1" applyBorder="1"/>
    <xf numFmtId="43" fontId="0" fillId="0" borderId="9" xfId="0" applyNumberFormat="1" applyFont="1" applyFill="1" applyBorder="1" applyProtection="1">
      <protection locked="0"/>
    </xf>
    <xf numFmtId="43" fontId="8" fillId="0" borderId="26" xfId="0" applyNumberFormat="1" applyFont="1" applyBorder="1"/>
    <xf numFmtId="0" fontId="0" fillId="0" borderId="27" xfId="0" applyBorder="1"/>
    <xf numFmtId="43" fontId="0" fillId="0" borderId="3" xfId="0" applyNumberFormat="1" applyBorder="1"/>
    <xf numFmtId="43" fontId="0" fillId="0" borderId="4" xfId="0" applyNumberFormat="1" applyBorder="1"/>
    <xf numFmtId="9" fontId="0" fillId="0" borderId="5" xfId="2" applyFont="1" applyBorder="1"/>
    <xf numFmtId="43" fontId="0" fillId="0" borderId="6" xfId="0" applyNumberFormat="1" applyBorder="1"/>
    <xf numFmtId="9" fontId="0" fillId="0" borderId="7" xfId="2" applyFont="1" applyBorder="1"/>
    <xf numFmtId="9" fontId="8" fillId="0" borderId="7" xfId="2" applyFont="1" applyBorder="1"/>
    <xf numFmtId="43" fontId="0" fillId="0" borderId="8" xfId="0" applyNumberFormat="1" applyBorder="1"/>
    <xf numFmtId="9" fontId="0" fillId="0" borderId="9" xfId="2" applyFont="1" applyBorder="1"/>
    <xf numFmtId="9" fontId="0" fillId="0" borderId="10" xfId="2" applyFont="1" applyBorder="1"/>
    <xf numFmtId="0" fontId="0" fillId="0" borderId="8" xfId="0" applyBorder="1" applyProtection="1">
      <protection locked="0"/>
    </xf>
    <xf numFmtId="0" fontId="6" fillId="0" borderId="0" xfId="0" applyFont="1" applyBorder="1"/>
    <xf numFmtId="43" fontId="6" fillId="0" borderId="0" xfId="1" applyFont="1" applyBorder="1"/>
    <xf numFmtId="43" fontId="6" fillId="0" borderId="0" xfId="0" applyNumberFormat="1" applyFont="1" applyBorder="1"/>
    <xf numFmtId="0" fontId="6" fillId="0" borderId="31" xfId="0" applyFont="1" applyBorder="1"/>
    <xf numFmtId="43" fontId="6" fillId="0" borderId="28" xfId="1" applyFont="1" applyBorder="1"/>
    <xf numFmtId="43" fontId="6" fillId="0" borderId="29" xfId="0" applyNumberFormat="1" applyFont="1" applyBorder="1"/>
    <xf numFmtId="0" fontId="4" fillId="0" borderId="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3" fillId="4" borderId="21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0" xfId="0" applyFont="1" applyAlignment="1">
      <alignment horizontal="center" vertical="center" wrapText="1"/>
    </xf>
    <xf numFmtId="0" fontId="0" fillId="0" borderId="17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11" fillId="0" borderId="11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13" xfId="0" applyFont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91"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gradientFill degree="90">
          <stop position="0">
            <color rgb="FFFF0000"/>
          </stop>
          <stop position="1">
            <color theme="4"/>
          </stop>
        </gradientFill>
      </fill>
    </dxf>
    <dxf>
      <fill>
        <patternFill>
          <bgColor theme="1" tint="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solid">
          <bgColor theme="1" tint="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darkTrellis">
          <bgColor theme="1" tint="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darkTrellis">
          <bgColor theme="1" tint="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darkTrellis">
          <bgColor theme="1" tint="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darkTrellis">
          <bgColor theme="2" tint="-0.89996032593768116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  <dxf>
      <fill>
        <patternFill patternType="darkTrellis">
          <bgColor theme="1" tint="4.9989318521683403E-2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B1:D43"/>
  <sheetViews>
    <sheetView zoomScaleNormal="100" workbookViewId="0">
      <selection activeCell="C39" sqref="C39"/>
    </sheetView>
  </sheetViews>
  <sheetFormatPr baseColWidth="10" defaultRowHeight="12" x14ac:dyDescent="0.2"/>
  <cols>
    <col min="1" max="1" width="12" style="4"/>
    <col min="2" max="2" width="68.1640625" style="4" bestFit="1" customWidth="1"/>
    <col min="3" max="3" width="14.6640625" style="4" customWidth="1"/>
    <col min="4" max="4" width="15.33203125" style="4" customWidth="1"/>
    <col min="5" max="16384" width="12" style="4"/>
  </cols>
  <sheetData>
    <row r="1" spans="2:4" ht="12.75" thickBot="1" x14ac:dyDescent="0.25"/>
    <row r="2" spans="2:4" ht="15.75" x14ac:dyDescent="0.25">
      <c r="B2" s="164" t="s">
        <v>41</v>
      </c>
      <c r="C2" s="165"/>
      <c r="D2" s="166"/>
    </row>
    <row r="3" spans="2:4" ht="9.75" customHeight="1" x14ac:dyDescent="0.2">
      <c r="B3" s="167" t="s">
        <v>42</v>
      </c>
      <c r="C3" s="162" t="s">
        <v>1</v>
      </c>
      <c r="D3" s="163"/>
    </row>
    <row r="4" spans="2:4" s="5" customFormat="1" ht="22.5" customHeight="1" x14ac:dyDescent="0.2">
      <c r="B4" s="167"/>
      <c r="C4" s="168" t="s">
        <v>38</v>
      </c>
      <c r="D4" s="169" t="s">
        <v>39</v>
      </c>
    </row>
    <row r="5" spans="2:4" s="5" customFormat="1" x14ac:dyDescent="0.2">
      <c r="B5" s="167"/>
      <c r="C5" s="168"/>
      <c r="D5" s="169"/>
    </row>
    <row r="6" spans="2:4" x14ac:dyDescent="0.2">
      <c r="B6" s="58" t="s">
        <v>0</v>
      </c>
      <c r="C6" s="57">
        <v>30</v>
      </c>
      <c r="D6" s="59">
        <v>40</v>
      </c>
    </row>
    <row r="7" spans="2:4" x14ac:dyDescent="0.2">
      <c r="B7" s="58" t="s">
        <v>6</v>
      </c>
      <c r="C7" s="57">
        <v>80</v>
      </c>
      <c r="D7" s="59">
        <v>100</v>
      </c>
    </row>
    <row r="8" spans="2:4" x14ac:dyDescent="0.2">
      <c r="B8" s="58" t="s">
        <v>7</v>
      </c>
      <c r="C8" s="57">
        <v>150</v>
      </c>
      <c r="D8" s="60">
        <v>200</v>
      </c>
    </row>
    <row r="9" spans="2:4" x14ac:dyDescent="0.2">
      <c r="B9" s="58" t="s">
        <v>8</v>
      </c>
      <c r="C9" s="57">
        <v>6</v>
      </c>
      <c r="D9" s="60">
        <v>8</v>
      </c>
    </row>
    <row r="10" spans="2:4" x14ac:dyDescent="0.2">
      <c r="B10" s="58" t="s">
        <v>9</v>
      </c>
      <c r="C10" s="57">
        <v>30</v>
      </c>
      <c r="D10" s="60">
        <v>35</v>
      </c>
    </row>
    <row r="11" spans="2:4" x14ac:dyDescent="0.2">
      <c r="B11" s="58" t="s">
        <v>10</v>
      </c>
      <c r="C11" s="57">
        <v>40</v>
      </c>
      <c r="D11" s="60">
        <v>60</v>
      </c>
    </row>
    <row r="12" spans="2:4" x14ac:dyDescent="0.2">
      <c r="B12" s="58" t="s">
        <v>11</v>
      </c>
      <c r="C12" s="57">
        <v>300</v>
      </c>
      <c r="D12" s="60">
        <v>350</v>
      </c>
    </row>
    <row r="13" spans="2:4" x14ac:dyDescent="0.2">
      <c r="B13" s="58" t="s">
        <v>12</v>
      </c>
      <c r="C13" s="57">
        <v>500</v>
      </c>
      <c r="D13" s="60">
        <v>600</v>
      </c>
    </row>
    <row r="14" spans="2:4" x14ac:dyDescent="0.2">
      <c r="B14" s="58" t="s">
        <v>13</v>
      </c>
      <c r="C14" s="57">
        <v>150</v>
      </c>
      <c r="D14" s="60">
        <v>200</v>
      </c>
    </row>
    <row r="15" spans="2:4" x14ac:dyDescent="0.2">
      <c r="B15" s="58" t="s">
        <v>14</v>
      </c>
      <c r="C15" s="57">
        <v>200</v>
      </c>
      <c r="D15" s="60">
        <v>250</v>
      </c>
    </row>
    <row r="16" spans="2:4" x14ac:dyDescent="0.2">
      <c r="B16" s="58" t="s">
        <v>15</v>
      </c>
      <c r="C16" s="57">
        <v>100</v>
      </c>
      <c r="D16" s="60">
        <v>120</v>
      </c>
    </row>
    <row r="17" spans="2:4" x14ac:dyDescent="0.2">
      <c r="B17" s="58" t="s">
        <v>16</v>
      </c>
      <c r="C17" s="57">
        <v>180</v>
      </c>
      <c r="D17" s="60">
        <v>220</v>
      </c>
    </row>
    <row r="18" spans="2:4" x14ac:dyDescent="0.2">
      <c r="B18" s="58" t="s">
        <v>17</v>
      </c>
      <c r="C18" s="57">
        <v>700</v>
      </c>
      <c r="D18" s="60">
        <v>800</v>
      </c>
    </row>
    <row r="19" spans="2:4" x14ac:dyDescent="0.2">
      <c r="B19" s="58" t="s">
        <v>18</v>
      </c>
      <c r="C19" s="57">
        <v>15</v>
      </c>
      <c r="D19" s="60">
        <v>20</v>
      </c>
    </row>
    <row r="20" spans="2:4" x14ac:dyDescent="0.2">
      <c r="B20" s="58" t="s">
        <v>19</v>
      </c>
      <c r="C20" s="57">
        <v>500</v>
      </c>
      <c r="D20" s="60">
        <v>550</v>
      </c>
    </row>
    <row r="21" spans="2:4" x14ac:dyDescent="0.2">
      <c r="B21" s="58" t="s">
        <v>20</v>
      </c>
      <c r="C21" s="57">
        <v>180</v>
      </c>
      <c r="D21" s="60">
        <v>220</v>
      </c>
    </row>
    <row r="22" spans="2:4" x14ac:dyDescent="0.2">
      <c r="B22" s="58" t="s">
        <v>21</v>
      </c>
      <c r="C22" s="57">
        <v>50</v>
      </c>
      <c r="D22" s="60">
        <v>60</v>
      </c>
    </row>
    <row r="23" spans="2:4" x14ac:dyDescent="0.2">
      <c r="B23" s="58" t="s">
        <v>22</v>
      </c>
      <c r="C23" s="57">
        <v>130</v>
      </c>
      <c r="D23" s="60">
        <v>180</v>
      </c>
    </row>
    <row r="24" spans="2:4" x14ac:dyDescent="0.2">
      <c r="B24" s="58" t="s">
        <v>23</v>
      </c>
      <c r="C24" s="57">
        <v>80</v>
      </c>
      <c r="D24" s="60">
        <v>120</v>
      </c>
    </row>
    <row r="25" spans="2:4" x14ac:dyDescent="0.2">
      <c r="B25" s="58" t="s">
        <v>24</v>
      </c>
      <c r="C25" s="57">
        <v>40</v>
      </c>
      <c r="D25" s="60">
        <v>60</v>
      </c>
    </row>
    <row r="26" spans="2:4" x14ac:dyDescent="0.2">
      <c r="B26" s="58" t="s">
        <v>25</v>
      </c>
      <c r="C26" s="57">
        <v>25</v>
      </c>
      <c r="D26" s="60">
        <v>35</v>
      </c>
    </row>
    <row r="27" spans="2:4" x14ac:dyDescent="0.2">
      <c r="B27" s="58" t="s">
        <v>26</v>
      </c>
      <c r="C27" s="57">
        <v>40</v>
      </c>
      <c r="D27" s="60">
        <v>80</v>
      </c>
    </row>
    <row r="28" spans="2:4" x14ac:dyDescent="0.2">
      <c r="B28" s="58" t="s">
        <v>27</v>
      </c>
      <c r="C28" s="57">
        <v>80</v>
      </c>
      <c r="D28" s="60">
        <v>120</v>
      </c>
    </row>
    <row r="29" spans="2:4" x14ac:dyDescent="0.2">
      <c r="B29" s="58" t="s">
        <v>28</v>
      </c>
      <c r="C29" s="57">
        <v>20</v>
      </c>
      <c r="D29" s="60">
        <v>40</v>
      </c>
    </row>
    <row r="30" spans="2:4" x14ac:dyDescent="0.2">
      <c r="B30" s="58" t="s">
        <v>29</v>
      </c>
      <c r="C30" s="57">
        <v>30</v>
      </c>
      <c r="D30" s="60">
        <v>40</v>
      </c>
    </row>
    <row r="31" spans="2:4" x14ac:dyDescent="0.2">
      <c r="B31" s="58" t="s">
        <v>30</v>
      </c>
      <c r="C31" s="57">
        <v>15</v>
      </c>
      <c r="D31" s="60">
        <v>20</v>
      </c>
    </row>
    <row r="32" spans="2:4" x14ac:dyDescent="0.2">
      <c r="B32" s="58" t="s">
        <v>31</v>
      </c>
      <c r="C32" s="57">
        <v>60</v>
      </c>
      <c r="D32" s="60">
        <v>70</v>
      </c>
    </row>
    <row r="33" spans="2:4" x14ac:dyDescent="0.2">
      <c r="B33" s="58" t="s">
        <v>32</v>
      </c>
      <c r="C33" s="57">
        <v>1000</v>
      </c>
      <c r="D33" s="60">
        <v>1500</v>
      </c>
    </row>
    <row r="34" spans="2:4" x14ac:dyDescent="0.2">
      <c r="B34" s="58" t="s">
        <v>33</v>
      </c>
      <c r="C34" s="57">
        <v>2500</v>
      </c>
      <c r="D34" s="60">
        <v>3000</v>
      </c>
    </row>
    <row r="35" spans="2:4" x14ac:dyDescent="0.2">
      <c r="B35" s="58" t="s">
        <v>34</v>
      </c>
      <c r="C35" s="57">
        <v>1800</v>
      </c>
      <c r="D35" s="60">
        <v>2100</v>
      </c>
    </row>
    <row r="36" spans="2:4" x14ac:dyDescent="0.2">
      <c r="B36" s="58" t="s">
        <v>35</v>
      </c>
      <c r="C36" s="57">
        <v>11500</v>
      </c>
      <c r="D36" s="60">
        <v>11500</v>
      </c>
    </row>
    <row r="37" spans="2:4" x14ac:dyDescent="0.2">
      <c r="B37" s="58" t="s">
        <v>36</v>
      </c>
      <c r="C37" s="57">
        <v>30</v>
      </c>
      <c r="D37" s="60">
        <v>50</v>
      </c>
    </row>
    <row r="38" spans="2:4" x14ac:dyDescent="0.2">
      <c r="B38" s="159" t="s">
        <v>180</v>
      </c>
      <c r="C38" s="160">
        <v>150</v>
      </c>
      <c r="D38" s="161">
        <v>210</v>
      </c>
    </row>
    <row r="39" spans="2:4" x14ac:dyDescent="0.2">
      <c r="B39" s="159" t="s">
        <v>181</v>
      </c>
      <c r="C39" s="160">
        <v>230</v>
      </c>
      <c r="D39" s="161">
        <v>270</v>
      </c>
    </row>
    <row r="40" spans="2:4" x14ac:dyDescent="0.2">
      <c r="B40" s="159" t="s">
        <v>182</v>
      </c>
      <c r="C40" s="160">
        <v>170</v>
      </c>
      <c r="D40" s="161">
        <v>220</v>
      </c>
    </row>
    <row r="41" spans="2:4" x14ac:dyDescent="0.2">
      <c r="B41" s="159" t="s">
        <v>183</v>
      </c>
      <c r="C41" s="160">
        <v>110</v>
      </c>
      <c r="D41" s="161">
        <v>150</v>
      </c>
    </row>
    <row r="42" spans="2:4" ht="12.75" thickBot="1" x14ac:dyDescent="0.25">
      <c r="B42" s="61" t="s">
        <v>179</v>
      </c>
      <c r="C42" s="62">
        <v>4</v>
      </c>
      <c r="D42" s="63">
        <v>4</v>
      </c>
    </row>
    <row r="43" spans="2:4" x14ac:dyDescent="0.2">
      <c r="B43" s="156"/>
      <c r="C43" s="157"/>
      <c r="D43" s="158"/>
    </row>
  </sheetData>
  <sheetProtection password="DDB7" sheet="1" objects="1" scenarios="1"/>
  <mergeCells count="5">
    <mergeCell ref="C3:D3"/>
    <mergeCell ref="B2:D2"/>
    <mergeCell ref="B3:B5"/>
    <mergeCell ref="C4:C5"/>
    <mergeCell ref="D4:D5"/>
  </mergeCells>
  <pageMargins left="0.7" right="0.7" top="0.75" bottom="0.75" header="0.3" footer="0.3"/>
  <pageSetup orientation="portrait" verticalDpi="0" r:id="rId1"/>
  <headerFooter>
    <oddFooter>&amp;CCopyright Axoleo;a.callebout@axoleo.fr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M41"/>
  <sheetViews>
    <sheetView topLeftCell="A4" zoomScaleNormal="100" workbookViewId="0">
      <selection activeCell="E36" sqref="E36:F41"/>
    </sheetView>
  </sheetViews>
  <sheetFormatPr baseColWidth="10" defaultRowHeight="11.25" x14ac:dyDescent="0.2"/>
  <cols>
    <col min="1" max="1" width="25.5" bestFit="1" customWidth="1"/>
    <col min="2" max="2" width="15" bestFit="1" customWidth="1"/>
    <col min="3" max="3" width="7.33203125" style="15" bestFit="1" customWidth="1"/>
    <col min="4" max="4" width="11.1640625" bestFit="1" customWidth="1"/>
    <col min="5" max="5" width="11.5" bestFit="1" customWidth="1"/>
    <col min="6" max="6" width="13.5" bestFit="1" customWidth="1"/>
    <col min="13" max="13" width="13.1640625" customWidth="1"/>
  </cols>
  <sheetData>
    <row r="1" spans="1:13" ht="12" thickBot="1" x14ac:dyDescent="0.25"/>
    <row r="2" spans="1:13" s="7" customFormat="1" ht="15.75" customHeight="1" thickBot="1" x14ac:dyDescent="0.25">
      <c r="A2" s="16"/>
      <c r="B2" s="64" t="s">
        <v>121</v>
      </c>
      <c r="C2" s="65" t="s">
        <v>122</v>
      </c>
      <c r="D2" s="66" t="s">
        <v>99</v>
      </c>
    </row>
    <row r="3" spans="1:13" ht="11.25" customHeight="1" x14ac:dyDescent="0.2">
      <c r="A3" s="177" t="s">
        <v>120</v>
      </c>
      <c r="B3" s="174" t="s">
        <v>123</v>
      </c>
      <c r="C3" s="17" t="s">
        <v>124</v>
      </c>
      <c r="D3" s="32">
        <v>16.149999999999999</v>
      </c>
      <c r="H3" s="1"/>
      <c r="L3" s="8"/>
      <c r="M3" s="1"/>
    </row>
    <row r="4" spans="1:13" ht="11.25" customHeight="1" x14ac:dyDescent="0.2">
      <c r="A4" s="170"/>
      <c r="B4" s="174"/>
      <c r="C4" s="17" t="s">
        <v>125</v>
      </c>
      <c r="D4" s="32">
        <v>14.95</v>
      </c>
      <c r="H4" s="1"/>
      <c r="L4" s="8"/>
      <c r="M4" s="1"/>
    </row>
    <row r="5" spans="1:13" ht="11.25" customHeight="1" x14ac:dyDescent="0.2">
      <c r="A5" s="170"/>
      <c r="B5" s="174"/>
      <c r="C5" s="17" t="s">
        <v>126</v>
      </c>
      <c r="D5" s="32">
        <v>13.4</v>
      </c>
      <c r="H5" s="1"/>
      <c r="L5" s="8"/>
      <c r="M5" s="1"/>
    </row>
    <row r="6" spans="1:13" ht="11.25" customHeight="1" x14ac:dyDescent="0.2">
      <c r="A6" s="170"/>
      <c r="B6" s="174"/>
      <c r="C6" s="17" t="s">
        <v>127</v>
      </c>
      <c r="D6" s="32">
        <v>12.08</v>
      </c>
      <c r="H6" s="1"/>
      <c r="L6" s="8"/>
      <c r="M6" s="1"/>
    </row>
    <row r="7" spans="1:13" ht="11.25" customHeight="1" x14ac:dyDescent="0.2">
      <c r="A7" s="170"/>
      <c r="B7" s="174"/>
      <c r="C7" s="17" t="s">
        <v>128</v>
      </c>
      <c r="D7" s="32">
        <v>11.42</v>
      </c>
      <c r="H7" s="1"/>
      <c r="L7" s="8"/>
      <c r="M7" s="1"/>
    </row>
    <row r="8" spans="1:13" ht="11.25" customHeight="1" x14ac:dyDescent="0.2">
      <c r="A8" s="170"/>
      <c r="B8" s="174" t="s">
        <v>129</v>
      </c>
      <c r="C8" s="17" t="s">
        <v>151</v>
      </c>
      <c r="D8" s="32">
        <v>11.38</v>
      </c>
      <c r="H8" s="1"/>
      <c r="L8" s="8"/>
      <c r="M8" s="1"/>
    </row>
    <row r="9" spans="1:13" ht="11.25" customHeight="1" x14ac:dyDescent="0.2">
      <c r="A9" s="170"/>
      <c r="B9" s="174"/>
      <c r="C9" s="17" t="s">
        <v>152</v>
      </c>
      <c r="D9" s="32">
        <v>11.26</v>
      </c>
      <c r="H9" s="1"/>
    </row>
    <row r="10" spans="1:13" ht="11.25" customHeight="1" x14ac:dyDescent="0.2">
      <c r="A10" s="170"/>
      <c r="B10" s="174"/>
      <c r="C10" s="17" t="s">
        <v>153</v>
      </c>
      <c r="D10" s="32">
        <v>10.64</v>
      </c>
    </row>
    <row r="11" spans="1:13" ht="11.25" customHeight="1" x14ac:dyDescent="0.2">
      <c r="A11" s="170"/>
      <c r="B11" s="174" t="s">
        <v>130</v>
      </c>
      <c r="C11" s="17" t="s">
        <v>154</v>
      </c>
      <c r="D11" s="32">
        <v>11.26</v>
      </c>
    </row>
    <row r="12" spans="1:13" ht="11.25" customHeight="1" x14ac:dyDescent="0.2">
      <c r="A12" s="170"/>
      <c r="B12" s="174"/>
      <c r="C12" s="17" t="s">
        <v>155</v>
      </c>
      <c r="D12" s="32">
        <v>11.03</v>
      </c>
    </row>
    <row r="13" spans="1:13" ht="11.25" customHeight="1" x14ac:dyDescent="0.2">
      <c r="A13" s="170"/>
      <c r="B13" s="174"/>
      <c r="C13" s="17" t="s">
        <v>156</v>
      </c>
      <c r="D13" s="32">
        <v>10.44</v>
      </c>
    </row>
    <row r="14" spans="1:13" ht="11.25" customHeight="1" x14ac:dyDescent="0.2">
      <c r="A14" s="170"/>
      <c r="B14" s="174"/>
      <c r="C14" s="17" t="s">
        <v>157</v>
      </c>
      <c r="D14" s="32">
        <v>10.26</v>
      </c>
    </row>
    <row r="15" spans="1:13" ht="11.25" customHeight="1" x14ac:dyDescent="0.2">
      <c r="A15" s="170"/>
      <c r="B15" s="174"/>
      <c r="C15" s="17" t="s">
        <v>158</v>
      </c>
      <c r="D15" s="32">
        <v>9.89</v>
      </c>
    </row>
    <row r="16" spans="1:13" ht="11.25" customHeight="1" x14ac:dyDescent="0.2">
      <c r="A16" s="170"/>
      <c r="B16" s="174"/>
      <c r="C16" s="17" t="s">
        <v>159</v>
      </c>
      <c r="D16" s="32">
        <v>9.7200000000000006</v>
      </c>
    </row>
    <row r="17" spans="1:4" ht="11.25" customHeight="1" x14ac:dyDescent="0.2">
      <c r="A17" s="170"/>
      <c r="B17" s="174" t="s">
        <v>131</v>
      </c>
      <c r="C17" s="17" t="s">
        <v>160</v>
      </c>
      <c r="D17" s="32">
        <v>9.7100000000000009</v>
      </c>
    </row>
    <row r="18" spans="1:4" ht="11.25" customHeight="1" x14ac:dyDescent="0.2">
      <c r="A18" s="170"/>
      <c r="B18" s="174"/>
      <c r="C18" s="17" t="s">
        <v>161</v>
      </c>
      <c r="D18" s="32">
        <v>9.5399999999999991</v>
      </c>
    </row>
    <row r="19" spans="1:4" ht="11.25" customHeight="1" x14ac:dyDescent="0.2">
      <c r="A19" s="170"/>
      <c r="B19" s="174"/>
      <c r="C19" s="17" t="s">
        <v>162</v>
      </c>
      <c r="D19" s="32">
        <v>9.6199999999999992</v>
      </c>
    </row>
    <row r="20" spans="1:4" ht="11.25" customHeight="1" x14ac:dyDescent="0.2">
      <c r="A20" s="170"/>
      <c r="B20" s="174"/>
      <c r="C20" s="17" t="s">
        <v>163</v>
      </c>
      <c r="D20" s="32">
        <v>9.44</v>
      </c>
    </row>
    <row r="21" spans="1:4" ht="11.25" customHeight="1" x14ac:dyDescent="0.2">
      <c r="A21" s="170"/>
      <c r="B21" s="174"/>
      <c r="C21" s="17" t="s">
        <v>164</v>
      </c>
      <c r="D21" s="32">
        <v>9.5299999999999994</v>
      </c>
    </row>
    <row r="22" spans="1:4" ht="11.25" customHeight="1" x14ac:dyDescent="0.2">
      <c r="A22" s="170"/>
      <c r="B22" s="174"/>
      <c r="C22" s="17" t="s">
        <v>165</v>
      </c>
      <c r="D22" s="32">
        <v>9.36</v>
      </c>
    </row>
    <row r="23" spans="1:4" ht="11.25" customHeight="1" x14ac:dyDescent="0.2">
      <c r="A23" s="170"/>
      <c r="B23" s="174" t="s">
        <v>132</v>
      </c>
      <c r="C23" s="17" t="s">
        <v>166</v>
      </c>
      <c r="D23" s="32">
        <v>9.48</v>
      </c>
    </row>
    <row r="24" spans="1:4" ht="11.25" customHeight="1" x14ac:dyDescent="0.2">
      <c r="A24" s="170"/>
      <c r="B24" s="174"/>
      <c r="C24" s="17" t="s">
        <v>167</v>
      </c>
      <c r="D24" s="32">
        <v>9.31</v>
      </c>
    </row>
    <row r="25" spans="1:4" ht="11.25" customHeight="1" x14ac:dyDescent="0.2">
      <c r="A25" s="170"/>
      <c r="B25" s="174"/>
      <c r="C25" s="17" t="s">
        <v>168</v>
      </c>
      <c r="D25" s="32">
        <v>9.42</v>
      </c>
    </row>
    <row r="26" spans="1:4" ht="11.25" customHeight="1" x14ac:dyDescent="0.2">
      <c r="A26" s="170"/>
      <c r="B26" s="174"/>
      <c r="C26" s="17" t="s">
        <v>169</v>
      </c>
      <c r="D26" s="32">
        <v>9.26</v>
      </c>
    </row>
    <row r="27" spans="1:4" ht="11.25" customHeight="1" x14ac:dyDescent="0.2">
      <c r="A27" s="170"/>
      <c r="B27" s="174"/>
      <c r="C27" s="17" t="s">
        <v>170</v>
      </c>
      <c r="D27" s="32">
        <v>9.3699999999999992</v>
      </c>
    </row>
    <row r="28" spans="1:4" ht="11.25" customHeight="1" x14ac:dyDescent="0.2">
      <c r="A28" s="170"/>
      <c r="B28" s="174"/>
      <c r="C28" s="17" t="s">
        <v>171</v>
      </c>
      <c r="D28" s="32">
        <v>9.2200000000000006</v>
      </c>
    </row>
    <row r="29" spans="1:4" ht="15.75" customHeight="1" x14ac:dyDescent="0.2">
      <c r="A29" s="170" t="s">
        <v>133</v>
      </c>
      <c r="B29" s="174" t="s">
        <v>134</v>
      </c>
      <c r="C29" s="17" t="s">
        <v>135</v>
      </c>
      <c r="D29" s="32">
        <v>15.99</v>
      </c>
    </row>
    <row r="30" spans="1:4" x14ac:dyDescent="0.2">
      <c r="A30" s="170"/>
      <c r="B30" s="174"/>
      <c r="C30" s="17" t="s">
        <v>136</v>
      </c>
      <c r="D30" s="32">
        <v>15.16</v>
      </c>
    </row>
    <row r="31" spans="1:4" x14ac:dyDescent="0.2">
      <c r="A31" s="170"/>
      <c r="B31" s="174"/>
      <c r="C31" s="17" t="s">
        <v>137</v>
      </c>
      <c r="D31" s="32">
        <v>13.36</v>
      </c>
    </row>
    <row r="32" spans="1:4" x14ac:dyDescent="0.2">
      <c r="A32" s="170"/>
      <c r="B32" s="174" t="s">
        <v>138</v>
      </c>
      <c r="C32" s="17" t="s">
        <v>139</v>
      </c>
      <c r="D32" s="32">
        <v>12</v>
      </c>
    </row>
    <row r="33" spans="1:6" x14ac:dyDescent="0.2">
      <c r="A33" s="170"/>
      <c r="B33" s="174"/>
      <c r="C33" s="17" t="s">
        <v>140</v>
      </c>
      <c r="D33" s="32">
        <v>10.98</v>
      </c>
    </row>
    <row r="34" spans="1:6" x14ac:dyDescent="0.2">
      <c r="A34" s="170"/>
      <c r="B34" s="174"/>
      <c r="C34" s="17" t="s">
        <v>141</v>
      </c>
      <c r="D34" s="32">
        <v>9.9600000000000009</v>
      </c>
    </row>
    <row r="35" spans="1:6" ht="12" thickBot="1" x14ac:dyDescent="0.25">
      <c r="A35" s="170"/>
      <c r="B35" s="174"/>
      <c r="C35" s="17" t="s">
        <v>142</v>
      </c>
      <c r="D35" s="32">
        <v>9.3000000000000007</v>
      </c>
    </row>
    <row r="36" spans="1:6" ht="15.75" customHeight="1" x14ac:dyDescent="0.2">
      <c r="A36" s="170" t="s">
        <v>143</v>
      </c>
      <c r="B36" s="174" t="s">
        <v>144</v>
      </c>
      <c r="C36" s="17" t="s">
        <v>145</v>
      </c>
      <c r="D36" s="67">
        <f t="shared" ref="D36:D41" si="0">E36/151.67</f>
        <v>28.180259774510453</v>
      </c>
      <c r="E36" s="70">
        <v>4274.1000000000004</v>
      </c>
      <c r="F36" s="171" t="s">
        <v>172</v>
      </c>
    </row>
    <row r="37" spans="1:6" x14ac:dyDescent="0.2">
      <c r="A37" s="170"/>
      <c r="B37" s="174"/>
      <c r="C37" s="17" t="s">
        <v>146</v>
      </c>
      <c r="D37" s="67">
        <f t="shared" si="0"/>
        <v>25.79198259378915</v>
      </c>
      <c r="E37" s="71">
        <v>3911.87</v>
      </c>
      <c r="F37" s="172"/>
    </row>
    <row r="38" spans="1:6" x14ac:dyDescent="0.2">
      <c r="A38" s="170"/>
      <c r="B38" s="174"/>
      <c r="C38" s="17" t="s">
        <v>147</v>
      </c>
      <c r="D38" s="67">
        <f t="shared" si="0"/>
        <v>24.302103250478012</v>
      </c>
      <c r="E38" s="71">
        <v>3685.9</v>
      </c>
      <c r="F38" s="172"/>
    </row>
    <row r="39" spans="1:6" x14ac:dyDescent="0.2">
      <c r="A39" s="170"/>
      <c r="B39" s="174"/>
      <c r="C39" s="17" t="s">
        <v>148</v>
      </c>
      <c r="D39" s="67">
        <f t="shared" si="0"/>
        <v>21.022944550669219</v>
      </c>
      <c r="E39" s="71">
        <v>3188.55</v>
      </c>
      <c r="F39" s="172"/>
    </row>
    <row r="40" spans="1:6" x14ac:dyDescent="0.2">
      <c r="A40" s="170"/>
      <c r="B40" s="174"/>
      <c r="C40" s="17" t="s">
        <v>149</v>
      </c>
      <c r="D40" s="67">
        <f t="shared" si="0"/>
        <v>18.811630513615086</v>
      </c>
      <c r="E40" s="71">
        <v>2853.16</v>
      </c>
      <c r="F40" s="172"/>
    </row>
    <row r="41" spans="1:6" ht="12" thickBot="1" x14ac:dyDescent="0.25">
      <c r="A41" s="176"/>
      <c r="B41" s="175"/>
      <c r="C41" s="68" t="s">
        <v>150</v>
      </c>
      <c r="D41" s="69">
        <f t="shared" si="0"/>
        <v>15.946858310806356</v>
      </c>
      <c r="E41" s="72">
        <v>2418.66</v>
      </c>
      <c r="F41" s="173"/>
    </row>
  </sheetData>
  <sheetProtection password="DDB7" sheet="1" objects="1" scenarios="1" selectLockedCells="1" selectUnlockedCells="1"/>
  <mergeCells count="12">
    <mergeCell ref="A3:A28"/>
    <mergeCell ref="B3:B7"/>
    <mergeCell ref="B8:B10"/>
    <mergeCell ref="B11:B16"/>
    <mergeCell ref="B17:B22"/>
    <mergeCell ref="B23:B28"/>
    <mergeCell ref="A29:A35"/>
    <mergeCell ref="F36:F41"/>
    <mergeCell ref="B29:B31"/>
    <mergeCell ref="B32:B35"/>
    <mergeCell ref="B36:B41"/>
    <mergeCell ref="A36:A41"/>
  </mergeCells>
  <pageMargins left="0.7" right="0.7" top="0.75" bottom="0.75" header="0.3" footer="0.3"/>
  <pageSetup orientation="portrait" verticalDpi="0" r:id="rId1"/>
  <headerFooter>
    <oddFooter>&amp;CCopyright Axoleo;a.callebout@axoleo.fr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4:W80"/>
  <sheetViews>
    <sheetView topLeftCell="A62" zoomScaleNormal="100" workbookViewId="0">
      <selection activeCell="A78" sqref="A78"/>
    </sheetView>
  </sheetViews>
  <sheetFormatPr baseColWidth="10" defaultRowHeight="11.25" x14ac:dyDescent="0.2"/>
  <cols>
    <col min="4" max="4" width="55" bestFit="1" customWidth="1"/>
    <col min="5" max="5" width="4.83203125" hidden="1" customWidth="1"/>
    <col min="6" max="6" width="13.33203125" bestFit="1" customWidth="1"/>
    <col min="7" max="7" width="4.83203125" hidden="1" customWidth="1"/>
    <col min="8" max="8" width="13.33203125" bestFit="1" customWidth="1"/>
    <col min="9" max="9" width="14.6640625" style="2" bestFit="1" customWidth="1"/>
    <col min="10" max="10" width="10.5" bestFit="1" customWidth="1"/>
    <col min="11" max="11" width="11.33203125" bestFit="1" customWidth="1"/>
    <col min="12" max="12" width="13.83203125" style="3" customWidth="1"/>
    <col min="13" max="13" width="10.33203125" bestFit="1" customWidth="1"/>
    <col min="16" max="16" width="10" bestFit="1" customWidth="1"/>
    <col min="17" max="17" width="8.5" bestFit="1" customWidth="1"/>
    <col min="18" max="18" width="10" customWidth="1"/>
    <col min="19" max="19" width="13.33203125" bestFit="1" customWidth="1"/>
    <col min="20" max="20" width="4.6640625" customWidth="1"/>
    <col min="21" max="21" width="13" bestFit="1" customWidth="1"/>
    <col min="23" max="23" width="13" bestFit="1" customWidth="1"/>
  </cols>
  <sheetData>
    <row r="4" spans="1:23" ht="12" thickBot="1" x14ac:dyDescent="0.25"/>
    <row r="5" spans="1:23" ht="21" customHeight="1" thickBot="1" x14ac:dyDescent="0.25">
      <c r="D5" s="56"/>
      <c r="E5" s="178" t="s">
        <v>1</v>
      </c>
      <c r="F5" s="179"/>
      <c r="G5" s="179"/>
      <c r="H5" s="180"/>
      <c r="Q5" s="182" t="s">
        <v>45</v>
      </c>
      <c r="R5" s="183"/>
      <c r="S5" s="184" t="str">
        <f>L6</f>
        <v>temps par prestation en heure (selon encombrement)</v>
      </c>
      <c r="T5" s="184"/>
      <c r="U5" s="184"/>
      <c r="V5" s="185" t="str">
        <f>M6</f>
        <v>temps par prestation en heures (spécifique)</v>
      </c>
      <c r="W5" s="186"/>
    </row>
    <row r="6" spans="1:23" ht="90.75" thickBot="1" x14ac:dyDescent="0.25">
      <c r="A6" s="49" t="s">
        <v>51</v>
      </c>
      <c r="B6" s="50" t="s">
        <v>50</v>
      </c>
      <c r="C6" s="50" t="s">
        <v>49</v>
      </c>
      <c r="D6" s="50" t="s">
        <v>40</v>
      </c>
      <c r="E6" s="54"/>
      <c r="F6" s="54" t="s">
        <v>38</v>
      </c>
      <c r="G6" s="54"/>
      <c r="H6" s="54" t="s">
        <v>39</v>
      </c>
      <c r="I6" s="51" t="s">
        <v>37</v>
      </c>
      <c r="J6" s="51" t="s">
        <v>2</v>
      </c>
      <c r="K6" s="51" t="s">
        <v>3</v>
      </c>
      <c r="L6" s="52" t="s">
        <v>4</v>
      </c>
      <c r="M6" s="51" t="s">
        <v>5</v>
      </c>
      <c r="N6" s="51" t="s">
        <v>43</v>
      </c>
      <c r="O6" s="51" t="s">
        <v>60</v>
      </c>
      <c r="P6" s="51" t="s">
        <v>44</v>
      </c>
      <c r="Q6" s="51" t="s">
        <v>46</v>
      </c>
      <c r="R6" s="51" t="s">
        <v>47</v>
      </c>
      <c r="S6" s="51" t="s">
        <v>80</v>
      </c>
      <c r="T6" s="181" t="s">
        <v>81</v>
      </c>
      <c r="U6" s="181"/>
      <c r="V6" s="51" t="s">
        <v>80</v>
      </c>
      <c r="W6" s="53" t="s">
        <v>81</v>
      </c>
    </row>
    <row r="7" spans="1:23" hidden="1" x14ac:dyDescent="0.2">
      <c r="A7" s="38" t="s">
        <v>52</v>
      </c>
      <c r="B7" s="39"/>
      <c r="C7" s="39"/>
      <c r="D7" s="39"/>
      <c r="E7" s="40" t="e">
        <f>+VLOOKUP(D7,Cadencier!$B$6:$D$42,2,0)</f>
        <v>#N/A</v>
      </c>
      <c r="F7" s="40" t="str">
        <f>+IF(ISNA(E7),"",E7)</f>
        <v/>
      </c>
      <c r="G7" s="40" t="e">
        <f>+VLOOKUP(D7,Cadencier!$B$6:$D$42,3,0)</f>
        <v>#N/A</v>
      </c>
      <c r="H7" s="40" t="str">
        <f t="shared" ref="H7:H79" si="0">+IF(ISNA(G7),"",G7)</f>
        <v/>
      </c>
      <c r="I7" s="41"/>
      <c r="J7" s="42"/>
      <c r="K7" s="42"/>
      <c r="L7" s="43" t="str">
        <f>IF(I7="","",IF(I7="Fort",K7/F7,IF(I7="Faible",K7/H7)))</f>
        <v/>
      </c>
      <c r="M7" s="43">
        <f>IF(J7&lt;=0,0,K7/J7)</f>
        <v>0</v>
      </c>
      <c r="N7" s="39"/>
      <c r="O7" s="40" t="str">
        <f t="shared" ref="O7:O49" si="1">IF($N7="J5",5*52,IF($N7="J6",6*52,IF($N7="J7",6*52+1*52,IF(N7="Hebdo",1*52,IF(N7="Bi-Hebdo",2*52,IF(N7="M",12,IF(N7="Bi-M",2*12,IF(N7="Trim",4,IF(N7="Sem",2,IF(N7="An",1,IF(N7="","")))))))))))</f>
        <v/>
      </c>
      <c r="P7" s="44" t="str">
        <f>IF(N7="J7",25%,"Néant")</f>
        <v>Néant</v>
      </c>
      <c r="Q7" s="45"/>
      <c r="R7" s="46"/>
      <c r="S7" s="40" t="str">
        <f>IF($N7="J5",(L7+$R7)*5*52,IF($N7="J6",(L7+$R7)*6*52,IF($N7="J7",(L7+$R7)*6*52+(L7+$R7)*1*(100%+$P7)*52,IF(N7="Hebdo",(L7+$R7)*1*52,IF(N7="Bi-Hebdo",(L7+$R7)*2*52,IF(N7="M",(L7+$R7)*12,IF(N7="Bi-M",(L7+$R7)*2*12,IF(N7="Trim",(L7+$R7)*4,IF(N7="Sem",(L7+$R7)*2,IF(N7="An",(L7+$R7)*1,IF(N7="","")))))))))))</f>
        <v/>
      </c>
      <c r="T7" s="39"/>
      <c r="U7" s="40" t="str">
        <f>IF(T7="O",S7*10%+S7,IF(T7="N",S7,IF(T7="","renseigner CP")))</f>
        <v>renseigner CP</v>
      </c>
      <c r="V7" s="40" t="str">
        <f t="shared" ref="V7:V79" si="2">IF($N7="J5",(M7+$R7)*5*52,IF($N7="J6",(M7+$R7)*6*52,IF($N7="J7",(M7+$R7)*6*52+(M7+$R7)*1*(100%+$P7)*52,IF(N7="Hebdo",(M7+$R7)*1*52,IF(N7="Bi-Hebdo",(M7+$R7)*2*52,IF(N7="M",(M7+$R7)*12,IF(N7="Bi-M",(M7+$R7)*2*12,IF(N7="Trim",(M7+$R7)*4,IF(N7="Sem",(M7+$R7)*2,IF(N7="An",(M7+$R7)*1,IF(N7="","")))))))))))</f>
        <v/>
      </c>
      <c r="W7" s="47" t="str">
        <f>IF(T7="O",V7*10%+V7,IF(T7="N",V7,IF(T7="","renseigner CP")))</f>
        <v>renseigner CP</v>
      </c>
    </row>
    <row r="8" spans="1:23" ht="11.25" customHeight="1" x14ac:dyDescent="0.2">
      <c r="A8" s="38" t="s">
        <v>52</v>
      </c>
      <c r="B8" s="39"/>
      <c r="C8" s="39"/>
      <c r="D8" s="39"/>
      <c r="E8" s="40" t="e">
        <f>+VLOOKUP(D8,Cadencier!$B$6:$D$42,2,0)</f>
        <v>#N/A</v>
      </c>
      <c r="F8" s="40" t="str">
        <f>+IF(ISNA(E8),"",E8)</f>
        <v/>
      </c>
      <c r="G8" s="40" t="e">
        <f>+VLOOKUP(D8,Cadencier!$B$6:$D$42,3,0)</f>
        <v>#N/A</v>
      </c>
      <c r="H8" s="40" t="str">
        <f t="shared" ref="H8" si="3">+IF(ISNA(G8),"",G8)</f>
        <v/>
      </c>
      <c r="I8" s="41"/>
      <c r="J8" s="42"/>
      <c r="K8" s="42"/>
      <c r="L8" s="43" t="str">
        <f>IF(I8="","",IF(I8="Fort",K8/F8,IF(I8="Faible",K8/H8)))</f>
        <v/>
      </c>
      <c r="M8" s="43">
        <f>IF(J8&lt;=0,0,K8/J8)</f>
        <v>0</v>
      </c>
      <c r="N8" s="39"/>
      <c r="O8" s="40" t="str">
        <f t="shared" ref="O8" si="4">IF($N8="J5",5*52,IF($N8="J6",6*52,IF($N8="J7",6*52+1*52,IF(N8="Hebdo",1*52,IF(N8="Bi-Hebdo",2*52,IF(N8="M",12,IF(N8="Bi-M",2*12,IF(N8="Trim",4,IF(N8="Sem",2,IF(N8="An",1,IF(N8="","")))))))))))</f>
        <v/>
      </c>
      <c r="P8" s="44" t="str">
        <f>IF(N8="J7",25%,"Néant")</f>
        <v>Néant</v>
      </c>
      <c r="Q8" s="45"/>
      <c r="R8" s="46"/>
      <c r="S8" s="40" t="str">
        <f>IF($N8="J5",(L8+$R8)*5*52,IF($N8="J6",(L8+$R8)*6*52,IF($N8="J7",(L8+$R8)*6*52+(L8+$R8)*1*(100%+$P8)*52,IF(N8="Hebdo",(L8+$R8)*1*52,IF(N8="Bi-Hebdo",(L8+$R8)*2*52,IF(N8="M",(L8+$R8)*12,IF(N8="Bi-M",(L8+$R8)*2*12,IF(N8="Trim",(L8+$R8)*4,IF(N8="Sem",(L8+$R8)*2,IF(N8="An",(L8+$R8)*1,IF(N8="","")))))))))))</f>
        <v/>
      </c>
      <c r="T8" s="39"/>
      <c r="U8" s="40" t="str">
        <f>IF(T8="O",S8*10%+S8,IF(T8="N",S8,IF(T8="","renseigner CP")))</f>
        <v>renseigner CP</v>
      </c>
      <c r="V8" s="40" t="str">
        <f t="shared" ref="V8" si="5">IF($N8="J5",(M8+$R8)*5*52,IF($N8="J6",(M8+$R8)*6*52,IF($N8="J7",(M8+$R8)*6*52+(M8+$R8)*1*(100%+$P8)*52,IF(N8="Hebdo",(M8+$R8)*1*52,IF(N8="Bi-Hebdo",(M8+$R8)*2*52,IF(N8="M",(M8+$R8)*12,IF(N8="Bi-M",(M8+$R8)*2*12,IF(N8="Trim",(M8+$R8)*4,IF(N8="Sem",(M8+$R8)*2,IF(N8="An",(M8+$R8)*1,IF(N8="","")))))))))))</f>
        <v/>
      </c>
      <c r="W8" s="47" t="str">
        <f>IF(T8="O",V8*10%+V8,IF(T8="N",V8,IF(T8="","renseigner CP")))</f>
        <v>renseigner CP</v>
      </c>
    </row>
    <row r="9" spans="1:23" ht="11.25" customHeight="1" x14ac:dyDescent="0.2">
      <c r="A9" s="31" t="s">
        <v>52</v>
      </c>
      <c r="B9" s="22"/>
      <c r="C9" s="22"/>
      <c r="D9" s="22"/>
      <c r="E9" s="18" t="e">
        <f>+VLOOKUP(D9,Cadencier!$B$6:$D$42,2,0)</f>
        <v>#N/A</v>
      </c>
      <c r="F9" s="18" t="str">
        <f>+IF(ISNA(E9),"",E9)</f>
        <v/>
      </c>
      <c r="G9" s="18" t="e">
        <f>+VLOOKUP(D9,Cadencier!$B$6:$D$42,3,0)</f>
        <v>#N/A</v>
      </c>
      <c r="H9" s="18" t="str">
        <f t="shared" ref="H9" si="6">+IF(ISNA(G9),"",G9)</f>
        <v/>
      </c>
      <c r="I9" s="23"/>
      <c r="J9" s="24"/>
      <c r="K9" s="24"/>
      <c r="L9" s="25" t="str">
        <f>IF(I9="","",IF(I9="Fort",K9/F9,IF(I9="Faible",K9/H9)))</f>
        <v/>
      </c>
      <c r="M9" s="25">
        <f>IF(J9&lt;=0,0,K9/J9)</f>
        <v>0</v>
      </c>
      <c r="N9" s="22"/>
      <c r="O9" s="18" t="str">
        <f t="shared" ref="O9" si="7">IF($N9="J5",5*52,IF($N9="J6",6*52,IF($N9="J7",6*52+1*52,IF(N9="Hebdo",1*52,IF(N9="Bi-Hebdo",2*52,IF(N9="M",12,IF(N9="Bi-M",2*12,IF(N9="Trim",4,IF(N9="Sem",2,IF(N9="An",1,IF(N9="","")))))))))))</f>
        <v/>
      </c>
      <c r="P9" s="26" t="str">
        <f>IF(N9="J7",25%,"Néant")</f>
        <v>Néant</v>
      </c>
      <c r="Q9" s="27"/>
      <c r="R9" s="28"/>
      <c r="S9" s="18" t="str">
        <f>IF($N9="J5",(L9+$R9)*5*52,IF($N9="J6",(L9+$R9)*6*52,IF($N9="J7",(L9+$R9)*6*52+(L9+$R9)*1*(100%+$P9)*52,IF(N9="Hebdo",(L9+$R9)*1*52,IF(N9="Bi-Hebdo",(L9+$R9)*2*52,IF(N9="M",(L9+$R9)*12,IF(N9="Bi-M",(L9+$R9)*2*12,IF(N9="Trim",(L9+$R9)*4,IF(N9="Sem",(L9+$R9)*2,IF(N9="An",(L9+$R9)*1,IF(N9="","")))))))))))</f>
        <v/>
      </c>
      <c r="T9" s="22"/>
      <c r="U9" s="18" t="str">
        <f>IF(T9="O",S9*10%+S9,IF(T9="N",S9,IF(T9="","renseigner CP")))</f>
        <v>renseigner CP</v>
      </c>
      <c r="V9" s="18" t="str">
        <f t="shared" ref="V9" si="8">IF($N9="J5",(M9+$R9)*5*52,IF($N9="J6",(M9+$R9)*6*52,IF($N9="J7",(M9+$R9)*6*52+(M9+$R9)*1*(100%+$P9)*52,IF(N9="Hebdo",(M9+$R9)*1*52,IF(N9="Bi-Hebdo",(M9+$R9)*2*52,IF(N9="M",(M9+$R9)*12,IF(N9="Bi-M",(M9+$R9)*2*12,IF(N9="Trim",(M9+$R9)*4,IF(N9="Sem",(M9+$R9)*2,IF(N9="An",(M9+$R9)*1,IF(N9="","")))))))))))</f>
        <v/>
      </c>
      <c r="W9" s="32" t="str">
        <f>IF(T9="O",V9*10%+V9,IF(T9="N",V9,IF(T9="","renseigner CP")))</f>
        <v>renseigner CP</v>
      </c>
    </row>
    <row r="10" spans="1:23" x14ac:dyDescent="0.2">
      <c r="A10" s="31" t="s">
        <v>52</v>
      </c>
      <c r="B10" s="22"/>
      <c r="C10" s="22"/>
      <c r="D10" s="22"/>
      <c r="E10" s="18" t="e">
        <f>+VLOOKUP(D10,Cadencier!$B$6:$D$42,2,0)</f>
        <v>#N/A</v>
      </c>
      <c r="F10" s="18" t="str">
        <f t="shared" ref="F10:F79" si="9">+IF(ISNA(E10),"",E10)</f>
        <v/>
      </c>
      <c r="G10" s="18" t="e">
        <f>+VLOOKUP(D10,Cadencier!$B$6:$D$42,3,0)</f>
        <v>#N/A</v>
      </c>
      <c r="H10" s="18" t="str">
        <f t="shared" si="0"/>
        <v/>
      </c>
      <c r="I10" s="23"/>
      <c r="J10" s="29"/>
      <c r="K10" s="24"/>
      <c r="L10" s="25" t="str">
        <f t="shared" ref="L10:L79" si="10">IF(I10="","",IF(I10="Fort",K10/F10,IF(I10="Faible",K10/H10)))</f>
        <v/>
      </c>
      <c r="M10" s="25">
        <f t="shared" ref="M10:M79" si="11">IF(J10&lt;=0,0,K10/J10)</f>
        <v>0</v>
      </c>
      <c r="N10" s="22"/>
      <c r="O10" s="18" t="str">
        <f t="shared" si="1"/>
        <v/>
      </c>
      <c r="P10" s="26" t="str">
        <f t="shared" ref="P10:P79" si="12">IF(N10="J7",25%,"Néant")</f>
        <v>Néant</v>
      </c>
      <c r="Q10" s="27"/>
      <c r="R10" s="28"/>
      <c r="S10" s="18" t="str">
        <f t="shared" ref="S10:S79" si="13">IF($N10="J5",(L10+$R10)*5*52,IF($N10="J6",(L10+$R10)*6*52,IF($N10="J7",(L10+$R10)*6*52+(L10+$R10)*1*(100%+$P10)*52,IF(N10="Hebdo",(L10+$R10)*1*52,IF(N10="Bi-Hebdo",(L10+$R10)*2*52,IF(N10="M",(L10+$R10)*12,IF(N10="Bi-M",(L10+$R10)*2*12,IF(N10="Trim",(L10+$R10)*4,IF(N10="Sem",(L10+$R10)*2,IF(N10="An",(L10+$R10)*1,IF(N10="","")))))))))))</f>
        <v/>
      </c>
      <c r="T10" s="22"/>
      <c r="U10" s="18" t="str">
        <f t="shared" ref="U10:U79" si="14">IF(T10="O",S10*10%+S10,IF(T10="N",S10,IF(T10="","renseigner CP")))</f>
        <v>renseigner CP</v>
      </c>
      <c r="V10" s="18" t="str">
        <f t="shared" si="2"/>
        <v/>
      </c>
      <c r="W10" s="32" t="str">
        <f t="shared" ref="W10:W79" si="15">IF(T10="O",V10*10%+V10,IF(T10="N",V10,IF(T10="","renseigner CP")))</f>
        <v>renseigner CP</v>
      </c>
    </row>
    <row r="11" spans="1:23" ht="11.25" customHeight="1" x14ac:dyDescent="0.2">
      <c r="A11" s="31" t="s">
        <v>52</v>
      </c>
      <c r="B11" s="22"/>
      <c r="C11" s="22"/>
      <c r="D11" s="22"/>
      <c r="E11" s="18" t="e">
        <f>+VLOOKUP(D11,Cadencier!$B$6:$D$42,2,0)</f>
        <v>#N/A</v>
      </c>
      <c r="F11" s="18" t="str">
        <f>+IF(ISNA(E11),"",E11)</f>
        <v/>
      </c>
      <c r="G11" s="18" t="e">
        <f>+VLOOKUP(D11,Cadencier!$B$6:$D$42,3,0)</f>
        <v>#N/A</v>
      </c>
      <c r="H11" s="18" t="str">
        <f t="shared" ref="H11" si="16">+IF(ISNA(G11),"",G11)</f>
        <v/>
      </c>
      <c r="I11" s="23"/>
      <c r="J11" s="24"/>
      <c r="K11" s="24"/>
      <c r="L11" s="25" t="str">
        <f>IF(I11="","",IF(I11="Fort",K11/F11,IF(I11="Faible",K11/H11)))</f>
        <v/>
      </c>
      <c r="M11" s="25">
        <f>IF(J11&lt;=0,0,K11/J11)</f>
        <v>0</v>
      </c>
      <c r="N11" s="22"/>
      <c r="O11" s="18" t="str">
        <f t="shared" ref="O11" si="17">IF($N11="J5",5*52,IF($N11="J6",6*52,IF($N11="J7",6*52+1*52,IF(N11="Hebdo",1*52,IF(N11="Bi-Hebdo",2*52,IF(N11="M",12,IF(N11="Bi-M",2*12,IF(N11="Trim",4,IF(N11="Sem",2,IF(N11="An",1,IF(N11="","")))))))))))</f>
        <v/>
      </c>
      <c r="P11" s="26" t="str">
        <f>IF(N11="J7",25%,"Néant")</f>
        <v>Néant</v>
      </c>
      <c r="Q11" s="27"/>
      <c r="R11" s="28"/>
      <c r="S11" s="18" t="str">
        <f>IF($N11="J5",(L11+$R11)*5*52,IF($N11="J6",(L11+$R11)*6*52,IF($N11="J7",(L11+$R11)*6*52+(L11+$R11)*1*(100%+$P11)*52,IF(N11="Hebdo",(L11+$R11)*1*52,IF(N11="Bi-Hebdo",(L11+$R11)*2*52,IF(N11="M",(L11+$R11)*12,IF(N11="Bi-M",(L11+$R11)*2*12,IF(N11="Trim",(L11+$R11)*4,IF(N11="Sem",(L11+$R11)*2,IF(N11="An",(L11+$R11)*1,IF(N11="","")))))))))))</f>
        <v/>
      </c>
      <c r="T11" s="22"/>
      <c r="U11" s="18" t="str">
        <f>IF(T11="O",S11*10%+S11,IF(T11="N",S11,IF(T11="","renseigner CP")))</f>
        <v>renseigner CP</v>
      </c>
      <c r="V11" s="18" t="str">
        <f t="shared" ref="V11" si="18">IF($N11="J5",(M11+$R11)*5*52,IF($N11="J6",(M11+$R11)*6*52,IF($N11="J7",(M11+$R11)*6*52+(M11+$R11)*1*(100%+$P11)*52,IF(N11="Hebdo",(M11+$R11)*1*52,IF(N11="Bi-Hebdo",(M11+$R11)*2*52,IF(N11="M",(M11+$R11)*12,IF(N11="Bi-M",(M11+$R11)*2*12,IF(N11="Trim",(M11+$R11)*4,IF(N11="Sem",(M11+$R11)*2,IF(N11="An",(M11+$R11)*1,IF(N11="","")))))))))))</f>
        <v/>
      </c>
      <c r="W11" s="32" t="str">
        <f>IF(T11="O",V11*10%+V11,IF(T11="N",V11,IF(T11="","renseigner CP")))</f>
        <v>renseigner CP</v>
      </c>
    </row>
    <row r="12" spans="1:23" ht="11.25" customHeight="1" x14ac:dyDescent="0.2">
      <c r="A12" s="31" t="s">
        <v>52</v>
      </c>
      <c r="B12" s="22"/>
      <c r="C12" s="22"/>
      <c r="D12" s="22"/>
      <c r="E12" s="18" t="e">
        <f>+VLOOKUP(D12,Cadencier!$B$6:$D$42,2,0)</f>
        <v>#N/A</v>
      </c>
      <c r="F12" s="18" t="str">
        <f>+IF(ISNA(E12),"",E12)</f>
        <v/>
      </c>
      <c r="G12" s="18" t="e">
        <f>+VLOOKUP(D12,Cadencier!$B$6:$D$42,3,0)</f>
        <v>#N/A</v>
      </c>
      <c r="H12" s="18" t="str">
        <f t="shared" ref="H12" si="19">+IF(ISNA(G12),"",G12)</f>
        <v/>
      </c>
      <c r="I12" s="23"/>
      <c r="J12" s="24"/>
      <c r="K12" s="24"/>
      <c r="L12" s="25" t="str">
        <f>IF(I12="","",IF(I12="Fort",K12/F12,IF(I12="Faible",K12/H12)))</f>
        <v/>
      </c>
      <c r="M12" s="25">
        <f>IF(J12&lt;=0,0,K12/J12)</f>
        <v>0</v>
      </c>
      <c r="N12" s="22"/>
      <c r="O12" s="18" t="str">
        <f t="shared" ref="O12" si="20">IF($N12="J5",5*52,IF($N12="J6",6*52,IF($N12="J7",6*52+1*52,IF(N12="Hebdo",1*52,IF(N12="Bi-Hebdo",2*52,IF(N12="M",12,IF(N12="Bi-M",2*12,IF(N12="Trim",4,IF(N12="Sem",2,IF(N12="An",1,IF(N12="","")))))))))))</f>
        <v/>
      </c>
      <c r="P12" s="26" t="str">
        <f>IF(N12="J7",25%,"Néant")</f>
        <v>Néant</v>
      </c>
      <c r="Q12" s="27"/>
      <c r="R12" s="28"/>
      <c r="S12" s="18" t="str">
        <f>IF($N12="J5",(L12+$R12)*5*52,IF($N12="J6",(L12+$R12)*6*52,IF($N12="J7",(L12+$R12)*6*52+(L12+$R12)*1*(100%+$P12)*52,IF(N12="Hebdo",(L12+$R12)*1*52,IF(N12="Bi-Hebdo",(L12+$R12)*2*52,IF(N12="M",(L12+$R12)*12,IF(N12="Bi-M",(L12+$R12)*2*12,IF(N12="Trim",(L12+$R12)*4,IF(N12="Sem",(L12+$R12)*2,IF(N12="An",(L12+$R12)*1,IF(N12="","")))))))))))</f>
        <v/>
      </c>
      <c r="T12" s="22"/>
      <c r="U12" s="18" t="str">
        <f>IF(T12="O",S12*10%+S12,IF(T12="N",S12,IF(T12="","renseigner CP")))</f>
        <v>renseigner CP</v>
      </c>
      <c r="V12" s="18" t="str">
        <f t="shared" ref="V12" si="21">IF($N12="J5",(M12+$R12)*5*52,IF($N12="J6",(M12+$R12)*6*52,IF($N12="J7",(M12+$R12)*6*52+(M12+$R12)*1*(100%+$P12)*52,IF(N12="Hebdo",(M12+$R12)*1*52,IF(N12="Bi-Hebdo",(M12+$R12)*2*52,IF(N12="M",(M12+$R12)*12,IF(N12="Bi-M",(M12+$R12)*2*12,IF(N12="Trim",(M12+$R12)*4,IF(N12="Sem",(M12+$R12)*2,IF(N12="An",(M12+$R12)*1,IF(N12="","")))))))))))</f>
        <v/>
      </c>
      <c r="W12" s="32" t="str">
        <f>IF(T12="O",V12*10%+V12,IF(T12="N",V12,IF(T12="","renseigner CP")))</f>
        <v>renseigner CP</v>
      </c>
    </row>
    <row r="13" spans="1:23" x14ac:dyDescent="0.2">
      <c r="A13" s="31" t="s">
        <v>52</v>
      </c>
      <c r="B13" s="22"/>
      <c r="C13" s="22"/>
      <c r="D13" s="22"/>
      <c r="E13" s="18" t="e">
        <f>+VLOOKUP(D13,Cadencier!$B$6:$D$42,2,0)</f>
        <v>#N/A</v>
      </c>
      <c r="F13" s="18" t="str">
        <f t="shared" si="9"/>
        <v/>
      </c>
      <c r="G13" s="18" t="e">
        <f>+VLOOKUP(D13,Cadencier!$B$6:$D$42,3,0)</f>
        <v>#N/A</v>
      </c>
      <c r="H13" s="18" t="str">
        <f t="shared" si="0"/>
        <v/>
      </c>
      <c r="I13" s="23"/>
      <c r="J13" s="24"/>
      <c r="K13" s="24"/>
      <c r="L13" s="25" t="str">
        <f t="shared" si="10"/>
        <v/>
      </c>
      <c r="M13" s="25">
        <f t="shared" si="11"/>
        <v>0</v>
      </c>
      <c r="N13" s="22"/>
      <c r="O13" s="18" t="str">
        <f t="shared" si="1"/>
        <v/>
      </c>
      <c r="P13" s="26" t="str">
        <f t="shared" si="12"/>
        <v>Néant</v>
      </c>
      <c r="Q13" s="27"/>
      <c r="R13" s="28"/>
      <c r="S13" s="18" t="str">
        <f t="shared" si="13"/>
        <v/>
      </c>
      <c r="T13" s="22"/>
      <c r="U13" s="18" t="str">
        <f t="shared" si="14"/>
        <v>renseigner CP</v>
      </c>
      <c r="V13" s="18" t="str">
        <f t="shared" si="2"/>
        <v/>
      </c>
      <c r="W13" s="32" t="str">
        <f t="shared" si="15"/>
        <v>renseigner CP</v>
      </c>
    </row>
    <row r="14" spans="1:23" x14ac:dyDescent="0.2">
      <c r="A14" s="31" t="s">
        <v>52</v>
      </c>
      <c r="B14" s="22"/>
      <c r="C14" s="22"/>
      <c r="D14" s="22"/>
      <c r="E14" s="18" t="e">
        <f>+VLOOKUP(D14,Cadencier!$B$6:$D$42,2,0)</f>
        <v>#N/A</v>
      </c>
      <c r="F14" s="18" t="str">
        <f t="shared" si="9"/>
        <v/>
      </c>
      <c r="G14" s="18" t="e">
        <f>+VLOOKUP(D14,Cadencier!$B$6:$D$42,3,0)</f>
        <v>#N/A</v>
      </c>
      <c r="H14" s="18" t="str">
        <f t="shared" si="0"/>
        <v/>
      </c>
      <c r="I14" s="23"/>
      <c r="J14" s="24"/>
      <c r="K14" s="24"/>
      <c r="L14" s="25" t="str">
        <f t="shared" si="10"/>
        <v/>
      </c>
      <c r="M14" s="25">
        <f t="shared" si="11"/>
        <v>0</v>
      </c>
      <c r="N14" s="22"/>
      <c r="O14" s="18" t="str">
        <f t="shared" si="1"/>
        <v/>
      </c>
      <c r="P14" s="26" t="str">
        <f t="shared" si="12"/>
        <v>Néant</v>
      </c>
      <c r="Q14" s="27"/>
      <c r="R14" s="28"/>
      <c r="S14" s="18" t="str">
        <f t="shared" si="13"/>
        <v/>
      </c>
      <c r="T14" s="22"/>
      <c r="U14" s="18" t="str">
        <f t="shared" si="14"/>
        <v>renseigner CP</v>
      </c>
      <c r="V14" s="18" t="str">
        <f t="shared" si="2"/>
        <v/>
      </c>
      <c r="W14" s="32" t="str">
        <f t="shared" si="15"/>
        <v>renseigner CP</v>
      </c>
    </row>
    <row r="15" spans="1:23" x14ac:dyDescent="0.2">
      <c r="A15" s="31" t="s">
        <v>52</v>
      </c>
      <c r="B15" s="22"/>
      <c r="C15" s="22"/>
      <c r="D15" s="22"/>
      <c r="E15" s="18" t="e">
        <f>+VLOOKUP(D15,Cadencier!$B$6:$D$42,2,0)</f>
        <v>#N/A</v>
      </c>
      <c r="F15" s="18" t="str">
        <f t="shared" si="9"/>
        <v/>
      </c>
      <c r="G15" s="18" t="e">
        <f>+VLOOKUP(D15,Cadencier!$B$6:$D$42,3,0)</f>
        <v>#N/A</v>
      </c>
      <c r="H15" s="18" t="str">
        <f t="shared" si="0"/>
        <v/>
      </c>
      <c r="I15" s="23"/>
      <c r="J15" s="24"/>
      <c r="K15" s="24"/>
      <c r="L15" s="25" t="str">
        <f t="shared" si="10"/>
        <v/>
      </c>
      <c r="M15" s="25">
        <f t="shared" si="11"/>
        <v>0</v>
      </c>
      <c r="N15" s="22"/>
      <c r="O15" s="18" t="str">
        <f t="shared" si="1"/>
        <v/>
      </c>
      <c r="P15" s="26" t="str">
        <f t="shared" si="12"/>
        <v>Néant</v>
      </c>
      <c r="Q15" s="27"/>
      <c r="R15" s="28"/>
      <c r="S15" s="18" t="str">
        <f t="shared" si="13"/>
        <v/>
      </c>
      <c r="T15" s="22"/>
      <c r="U15" s="18" t="str">
        <f t="shared" si="14"/>
        <v>renseigner CP</v>
      </c>
      <c r="V15" s="18" t="str">
        <f t="shared" si="2"/>
        <v/>
      </c>
      <c r="W15" s="32" t="str">
        <f t="shared" si="15"/>
        <v>renseigner CP</v>
      </c>
    </row>
    <row r="16" spans="1:23" ht="11.25" customHeight="1" x14ac:dyDescent="0.2">
      <c r="A16" s="31" t="s">
        <v>52</v>
      </c>
      <c r="B16" s="22"/>
      <c r="C16" s="22"/>
      <c r="D16" s="22"/>
      <c r="E16" s="18" t="e">
        <f>+VLOOKUP(D16,Cadencier!$B$6:$D$42,2,0)</f>
        <v>#N/A</v>
      </c>
      <c r="F16" s="18" t="str">
        <f>+IF(ISNA(E16),"",E16)</f>
        <v/>
      </c>
      <c r="G16" s="18" t="e">
        <f>+VLOOKUP(D16,Cadencier!$B$6:$D$42,3,0)</f>
        <v>#N/A</v>
      </c>
      <c r="H16" s="18" t="str">
        <f t="shared" ref="H16" si="22">+IF(ISNA(G16),"",G16)</f>
        <v/>
      </c>
      <c r="I16" s="23"/>
      <c r="J16" s="24"/>
      <c r="K16" s="24"/>
      <c r="L16" s="25" t="str">
        <f>IF(I16="","",IF(I16="Fort",K16/F16,IF(I16="Faible",K16/H16)))</f>
        <v/>
      </c>
      <c r="M16" s="25">
        <f>IF(J16&lt;=0,0,K16/J16)</f>
        <v>0</v>
      </c>
      <c r="N16" s="22"/>
      <c r="O16" s="18" t="str">
        <f t="shared" ref="O16" si="23">IF($N16="J5",5*52,IF($N16="J6",6*52,IF($N16="J7",6*52+1*52,IF(N16="Hebdo",1*52,IF(N16="Bi-Hebdo",2*52,IF(N16="M",12,IF(N16="Bi-M",2*12,IF(N16="Trim",4,IF(N16="Sem",2,IF(N16="An",1,IF(N16="","")))))))))))</f>
        <v/>
      </c>
      <c r="P16" s="26" t="str">
        <f>IF(N16="J7",25%,"Néant")</f>
        <v>Néant</v>
      </c>
      <c r="Q16" s="27"/>
      <c r="R16" s="28"/>
      <c r="S16" s="18" t="str">
        <f>IF($N16="J5",(L16+$R16)*5*52,IF($N16="J6",(L16+$R16)*6*52,IF($N16="J7",(L16+$R16)*6*52+(L16+$R16)*1*(100%+$P16)*52,IF(N16="Hebdo",(L16+$R16)*1*52,IF(N16="Bi-Hebdo",(L16+$R16)*2*52,IF(N16="M",(L16+$R16)*12,IF(N16="Bi-M",(L16+$R16)*2*12,IF(N16="Trim",(L16+$R16)*4,IF(N16="Sem",(L16+$R16)*2,IF(N16="An",(L16+$R16)*1,IF(N16="","")))))))))))</f>
        <v/>
      </c>
      <c r="T16" s="22"/>
      <c r="U16" s="18" t="str">
        <f>IF(T16="O",S16*10%+S16,IF(T16="N",S16,IF(T16="","renseigner CP")))</f>
        <v>renseigner CP</v>
      </c>
      <c r="V16" s="18" t="str">
        <f t="shared" ref="V16" si="24">IF($N16="J5",(M16+$R16)*5*52,IF($N16="J6",(M16+$R16)*6*52,IF($N16="J7",(M16+$R16)*6*52+(M16+$R16)*1*(100%+$P16)*52,IF(N16="Hebdo",(M16+$R16)*1*52,IF(N16="Bi-Hebdo",(M16+$R16)*2*52,IF(N16="M",(M16+$R16)*12,IF(N16="Bi-M",(M16+$R16)*2*12,IF(N16="Trim",(M16+$R16)*4,IF(N16="Sem",(M16+$R16)*2,IF(N16="An",(M16+$R16)*1,IF(N16="","")))))))))))</f>
        <v/>
      </c>
      <c r="W16" s="32" t="str">
        <f>IF(T16="O",V16*10%+V16,IF(T16="N",V16,IF(T16="","renseigner CP")))</f>
        <v>renseigner CP</v>
      </c>
    </row>
    <row r="17" spans="1:23" x14ac:dyDescent="0.2">
      <c r="A17" s="31" t="s">
        <v>52</v>
      </c>
      <c r="B17" s="22"/>
      <c r="C17" s="22"/>
      <c r="D17" s="22"/>
      <c r="E17" s="18" t="e">
        <f>+VLOOKUP(D17,Cadencier!$B$6:$D$42,2,0)</f>
        <v>#N/A</v>
      </c>
      <c r="F17" s="18" t="str">
        <f t="shared" si="9"/>
        <v/>
      </c>
      <c r="G17" s="18" t="e">
        <f>+VLOOKUP(D17,Cadencier!$B$6:$D$42,3,0)</f>
        <v>#N/A</v>
      </c>
      <c r="H17" s="18" t="str">
        <f t="shared" si="0"/>
        <v/>
      </c>
      <c r="I17" s="23"/>
      <c r="J17" s="24"/>
      <c r="K17" s="24"/>
      <c r="L17" s="25" t="str">
        <f t="shared" si="10"/>
        <v/>
      </c>
      <c r="M17" s="25">
        <f t="shared" si="11"/>
        <v>0</v>
      </c>
      <c r="N17" s="22"/>
      <c r="O17" s="18" t="str">
        <f t="shared" si="1"/>
        <v/>
      </c>
      <c r="P17" s="26" t="str">
        <f t="shared" si="12"/>
        <v>Néant</v>
      </c>
      <c r="Q17" s="27"/>
      <c r="R17" s="28"/>
      <c r="S17" s="18" t="str">
        <f t="shared" si="13"/>
        <v/>
      </c>
      <c r="T17" s="22"/>
      <c r="U17" s="18" t="str">
        <f t="shared" si="14"/>
        <v>renseigner CP</v>
      </c>
      <c r="V17" s="18" t="str">
        <f t="shared" si="2"/>
        <v/>
      </c>
      <c r="W17" s="32" t="str">
        <f t="shared" si="15"/>
        <v>renseigner CP</v>
      </c>
    </row>
    <row r="18" spans="1:23" x14ac:dyDescent="0.2">
      <c r="A18" s="31" t="s">
        <v>52</v>
      </c>
      <c r="B18" s="22"/>
      <c r="C18" s="22"/>
      <c r="D18" s="22"/>
      <c r="E18" s="18" t="e">
        <f>+VLOOKUP(D18,Cadencier!$B$6:$D$42,2,0)</f>
        <v>#N/A</v>
      </c>
      <c r="F18" s="18" t="str">
        <f t="shared" si="9"/>
        <v/>
      </c>
      <c r="G18" s="18" t="e">
        <f>+VLOOKUP(D18,Cadencier!$B$6:$D$42,3,0)</f>
        <v>#N/A</v>
      </c>
      <c r="H18" s="18" t="str">
        <f t="shared" si="0"/>
        <v/>
      </c>
      <c r="I18" s="23"/>
      <c r="J18" s="24"/>
      <c r="K18" s="24"/>
      <c r="L18" s="25" t="str">
        <f t="shared" si="10"/>
        <v/>
      </c>
      <c r="M18" s="25">
        <f t="shared" si="11"/>
        <v>0</v>
      </c>
      <c r="N18" s="22"/>
      <c r="O18" s="18" t="str">
        <f t="shared" si="1"/>
        <v/>
      </c>
      <c r="P18" s="26" t="str">
        <f t="shared" si="12"/>
        <v>Néant</v>
      </c>
      <c r="Q18" s="27"/>
      <c r="R18" s="28"/>
      <c r="S18" s="18" t="str">
        <f t="shared" si="13"/>
        <v/>
      </c>
      <c r="T18" s="22"/>
      <c r="U18" s="18" t="str">
        <f t="shared" si="14"/>
        <v>renseigner CP</v>
      </c>
      <c r="V18" s="18" t="str">
        <f t="shared" si="2"/>
        <v/>
      </c>
      <c r="W18" s="32" t="str">
        <f t="shared" si="15"/>
        <v>renseigner CP</v>
      </c>
    </row>
    <row r="19" spans="1:23" x14ac:dyDescent="0.2">
      <c r="A19" s="31" t="s">
        <v>52</v>
      </c>
      <c r="B19" s="22"/>
      <c r="C19" s="22"/>
      <c r="D19" s="22"/>
      <c r="E19" s="18" t="e">
        <f>+VLOOKUP(D19,Cadencier!$B$6:$D$42,2,0)</f>
        <v>#N/A</v>
      </c>
      <c r="F19" s="18" t="str">
        <f t="shared" si="9"/>
        <v/>
      </c>
      <c r="G19" s="18" t="e">
        <f>+VLOOKUP(D19,Cadencier!$B$6:$D$42,3,0)</f>
        <v>#N/A</v>
      </c>
      <c r="H19" s="18" t="str">
        <f t="shared" si="0"/>
        <v/>
      </c>
      <c r="I19" s="23"/>
      <c r="J19" s="24"/>
      <c r="K19" s="24"/>
      <c r="L19" s="25" t="str">
        <f t="shared" si="10"/>
        <v/>
      </c>
      <c r="M19" s="25">
        <f t="shared" si="11"/>
        <v>0</v>
      </c>
      <c r="N19" s="22"/>
      <c r="O19" s="18" t="str">
        <f t="shared" si="1"/>
        <v/>
      </c>
      <c r="P19" s="26" t="str">
        <f t="shared" si="12"/>
        <v>Néant</v>
      </c>
      <c r="Q19" s="27"/>
      <c r="R19" s="28"/>
      <c r="S19" s="18" t="str">
        <f t="shared" si="13"/>
        <v/>
      </c>
      <c r="T19" s="22"/>
      <c r="U19" s="18" t="str">
        <f t="shared" si="14"/>
        <v>renseigner CP</v>
      </c>
      <c r="V19" s="18" t="str">
        <f t="shared" si="2"/>
        <v/>
      </c>
      <c r="W19" s="32" t="str">
        <f t="shared" si="15"/>
        <v>renseigner CP</v>
      </c>
    </row>
    <row r="20" spans="1:23" x14ac:dyDescent="0.2">
      <c r="A20" s="31" t="s">
        <v>52</v>
      </c>
      <c r="B20" s="22"/>
      <c r="C20" s="22"/>
      <c r="D20" s="22"/>
      <c r="E20" s="18" t="e">
        <f>+VLOOKUP(D20,Cadencier!$B$6:$D$42,2,0)</f>
        <v>#N/A</v>
      </c>
      <c r="F20" s="18" t="str">
        <f t="shared" si="9"/>
        <v/>
      </c>
      <c r="G20" s="18" t="e">
        <f>+VLOOKUP(D20,Cadencier!$B$6:$D$42,3,0)</f>
        <v>#N/A</v>
      </c>
      <c r="H20" s="18" t="str">
        <f t="shared" si="0"/>
        <v/>
      </c>
      <c r="I20" s="23"/>
      <c r="J20" s="24"/>
      <c r="K20" s="24"/>
      <c r="L20" s="25" t="str">
        <f t="shared" si="10"/>
        <v/>
      </c>
      <c r="M20" s="25">
        <f t="shared" si="11"/>
        <v>0</v>
      </c>
      <c r="N20" s="22"/>
      <c r="O20" s="18" t="str">
        <f t="shared" si="1"/>
        <v/>
      </c>
      <c r="P20" s="26" t="str">
        <f t="shared" si="12"/>
        <v>Néant</v>
      </c>
      <c r="Q20" s="27"/>
      <c r="R20" s="28"/>
      <c r="S20" s="18" t="str">
        <f t="shared" si="13"/>
        <v/>
      </c>
      <c r="T20" s="22"/>
      <c r="U20" s="18" t="str">
        <f t="shared" si="14"/>
        <v>renseigner CP</v>
      </c>
      <c r="V20" s="18" t="str">
        <f t="shared" si="2"/>
        <v/>
      </c>
      <c r="W20" s="32" t="str">
        <f t="shared" si="15"/>
        <v>renseigner CP</v>
      </c>
    </row>
    <row r="21" spans="1:23" x14ac:dyDescent="0.2">
      <c r="A21" s="31" t="s">
        <v>52</v>
      </c>
      <c r="B21" s="22"/>
      <c r="C21" s="22"/>
      <c r="D21" s="22"/>
      <c r="E21" s="18" t="e">
        <f>+VLOOKUP(D21,Cadencier!$B$6:$D$42,2,0)</f>
        <v>#N/A</v>
      </c>
      <c r="F21" s="18" t="str">
        <f t="shared" si="9"/>
        <v/>
      </c>
      <c r="G21" s="18" t="e">
        <f>+VLOOKUP(D21,Cadencier!$B$6:$D$42,3,0)</f>
        <v>#N/A</v>
      </c>
      <c r="H21" s="18" t="str">
        <f t="shared" si="0"/>
        <v/>
      </c>
      <c r="I21" s="23"/>
      <c r="J21" s="24"/>
      <c r="K21" s="24"/>
      <c r="L21" s="25" t="str">
        <f t="shared" si="10"/>
        <v/>
      </c>
      <c r="M21" s="25">
        <f t="shared" si="11"/>
        <v>0</v>
      </c>
      <c r="N21" s="22"/>
      <c r="O21" s="18" t="str">
        <f t="shared" si="1"/>
        <v/>
      </c>
      <c r="P21" s="26" t="str">
        <f t="shared" si="12"/>
        <v>Néant</v>
      </c>
      <c r="Q21" s="27"/>
      <c r="R21" s="28"/>
      <c r="S21" s="18" t="str">
        <f t="shared" si="13"/>
        <v/>
      </c>
      <c r="T21" s="22"/>
      <c r="U21" s="18" t="str">
        <f t="shared" si="14"/>
        <v>renseigner CP</v>
      </c>
      <c r="V21" s="18" t="str">
        <f t="shared" si="2"/>
        <v/>
      </c>
      <c r="W21" s="32" t="str">
        <f t="shared" si="15"/>
        <v>renseigner CP</v>
      </c>
    </row>
    <row r="22" spans="1:23" x14ac:dyDescent="0.2">
      <c r="A22" s="31" t="s">
        <v>52</v>
      </c>
      <c r="B22" s="22"/>
      <c r="C22" s="22"/>
      <c r="D22" s="22"/>
      <c r="E22" s="18" t="e">
        <f>+VLOOKUP(D22,Cadencier!$B$6:$D$42,2,0)</f>
        <v>#N/A</v>
      </c>
      <c r="F22" s="18" t="str">
        <f t="shared" si="9"/>
        <v/>
      </c>
      <c r="G22" s="18" t="e">
        <f>+VLOOKUP(D22,Cadencier!$B$6:$D$42,3,0)</f>
        <v>#N/A</v>
      </c>
      <c r="H22" s="18" t="str">
        <f t="shared" si="0"/>
        <v/>
      </c>
      <c r="I22" s="23"/>
      <c r="J22" s="24"/>
      <c r="K22" s="24"/>
      <c r="L22" s="25" t="str">
        <f t="shared" si="10"/>
        <v/>
      </c>
      <c r="M22" s="25">
        <f t="shared" si="11"/>
        <v>0</v>
      </c>
      <c r="N22" s="22"/>
      <c r="O22" s="18" t="str">
        <f t="shared" si="1"/>
        <v/>
      </c>
      <c r="P22" s="26" t="str">
        <f t="shared" si="12"/>
        <v>Néant</v>
      </c>
      <c r="Q22" s="27"/>
      <c r="R22" s="28"/>
      <c r="S22" s="18" t="str">
        <f t="shared" si="13"/>
        <v/>
      </c>
      <c r="T22" s="22"/>
      <c r="U22" s="18" t="str">
        <f t="shared" si="14"/>
        <v>renseigner CP</v>
      </c>
      <c r="V22" s="18" t="str">
        <f t="shared" si="2"/>
        <v/>
      </c>
      <c r="W22" s="32" t="str">
        <f t="shared" si="15"/>
        <v>renseigner CP</v>
      </c>
    </row>
    <row r="23" spans="1:23" x14ac:dyDescent="0.2">
      <c r="A23" s="31" t="s">
        <v>52</v>
      </c>
      <c r="B23" s="22"/>
      <c r="C23" s="22"/>
      <c r="D23" s="22"/>
      <c r="E23" s="18" t="e">
        <f>+VLOOKUP(D23,Cadencier!$B$6:$D$42,2,0)</f>
        <v>#N/A</v>
      </c>
      <c r="F23" s="18" t="str">
        <f t="shared" si="9"/>
        <v/>
      </c>
      <c r="G23" s="18" t="e">
        <f>+VLOOKUP(D23,Cadencier!$B$6:$D$42,3,0)</f>
        <v>#N/A</v>
      </c>
      <c r="H23" s="18" t="str">
        <f t="shared" si="0"/>
        <v/>
      </c>
      <c r="I23" s="23"/>
      <c r="J23" s="24"/>
      <c r="K23" s="24"/>
      <c r="L23" s="25" t="str">
        <f t="shared" si="10"/>
        <v/>
      </c>
      <c r="M23" s="25">
        <f t="shared" si="11"/>
        <v>0</v>
      </c>
      <c r="N23" s="22"/>
      <c r="O23" s="18" t="str">
        <f t="shared" si="1"/>
        <v/>
      </c>
      <c r="P23" s="26" t="str">
        <f t="shared" si="12"/>
        <v>Néant</v>
      </c>
      <c r="Q23" s="27"/>
      <c r="R23" s="28"/>
      <c r="S23" s="18" t="str">
        <f t="shared" si="13"/>
        <v/>
      </c>
      <c r="T23" s="22"/>
      <c r="U23" s="18" t="str">
        <f t="shared" si="14"/>
        <v>renseigner CP</v>
      </c>
      <c r="V23" s="18" t="str">
        <f t="shared" si="2"/>
        <v/>
      </c>
      <c r="W23" s="32" t="str">
        <f t="shared" si="15"/>
        <v>renseigner CP</v>
      </c>
    </row>
    <row r="24" spans="1:23" x14ac:dyDescent="0.2">
      <c r="A24" s="31" t="s">
        <v>52</v>
      </c>
      <c r="B24" s="22"/>
      <c r="C24" s="22"/>
      <c r="D24" s="22"/>
      <c r="E24" s="18" t="e">
        <f>+VLOOKUP(D24,Cadencier!$B$6:$D$42,2,0)</f>
        <v>#N/A</v>
      </c>
      <c r="F24" s="18" t="str">
        <f t="shared" si="9"/>
        <v/>
      </c>
      <c r="G24" s="18" t="e">
        <f>+VLOOKUP(D24,Cadencier!$B$6:$D$42,3,0)</f>
        <v>#N/A</v>
      </c>
      <c r="H24" s="18" t="str">
        <f t="shared" si="0"/>
        <v/>
      </c>
      <c r="I24" s="23"/>
      <c r="J24" s="24"/>
      <c r="K24" s="24"/>
      <c r="L24" s="25" t="str">
        <f t="shared" si="10"/>
        <v/>
      </c>
      <c r="M24" s="25">
        <f t="shared" si="11"/>
        <v>0</v>
      </c>
      <c r="N24" s="22"/>
      <c r="O24" s="18" t="str">
        <f t="shared" si="1"/>
        <v/>
      </c>
      <c r="P24" s="26" t="str">
        <f t="shared" si="12"/>
        <v>Néant</v>
      </c>
      <c r="Q24" s="27"/>
      <c r="R24" s="28"/>
      <c r="S24" s="18" t="str">
        <f t="shared" si="13"/>
        <v/>
      </c>
      <c r="T24" s="22"/>
      <c r="U24" s="18" t="str">
        <f t="shared" si="14"/>
        <v>renseigner CP</v>
      </c>
      <c r="V24" s="18" t="str">
        <f t="shared" si="2"/>
        <v/>
      </c>
      <c r="W24" s="32" t="str">
        <f t="shared" si="15"/>
        <v>renseigner CP</v>
      </c>
    </row>
    <row r="25" spans="1:23" x14ac:dyDescent="0.2">
      <c r="A25" s="31" t="s">
        <v>52</v>
      </c>
      <c r="B25" s="22"/>
      <c r="C25" s="22"/>
      <c r="D25" s="22"/>
      <c r="E25" s="18" t="e">
        <f>+VLOOKUP(D25,Cadencier!$B$6:$D$42,2,0)</f>
        <v>#N/A</v>
      </c>
      <c r="F25" s="18" t="str">
        <f t="shared" si="9"/>
        <v/>
      </c>
      <c r="G25" s="18" t="e">
        <f>+VLOOKUP(D25,Cadencier!$B$6:$D$42,3,0)</f>
        <v>#N/A</v>
      </c>
      <c r="H25" s="18" t="str">
        <f t="shared" si="0"/>
        <v/>
      </c>
      <c r="I25" s="23"/>
      <c r="J25" s="24"/>
      <c r="K25" s="24"/>
      <c r="L25" s="25" t="str">
        <f t="shared" si="10"/>
        <v/>
      </c>
      <c r="M25" s="25">
        <f t="shared" si="11"/>
        <v>0</v>
      </c>
      <c r="N25" s="22"/>
      <c r="O25" s="18" t="str">
        <f t="shared" si="1"/>
        <v/>
      </c>
      <c r="P25" s="26" t="str">
        <f t="shared" si="12"/>
        <v>Néant</v>
      </c>
      <c r="Q25" s="27"/>
      <c r="R25" s="28"/>
      <c r="S25" s="18" t="str">
        <f t="shared" si="13"/>
        <v/>
      </c>
      <c r="T25" s="22"/>
      <c r="U25" s="18" t="str">
        <f t="shared" si="14"/>
        <v>renseigner CP</v>
      </c>
      <c r="V25" s="18" t="str">
        <f t="shared" si="2"/>
        <v/>
      </c>
      <c r="W25" s="32" t="str">
        <f t="shared" si="15"/>
        <v>renseigner CP</v>
      </c>
    </row>
    <row r="26" spans="1:23" x14ac:dyDescent="0.2">
      <c r="A26" s="31" t="s">
        <v>52</v>
      </c>
      <c r="B26" s="22"/>
      <c r="C26" s="22"/>
      <c r="D26" s="22"/>
      <c r="E26" s="18" t="e">
        <f>+VLOOKUP(D26,Cadencier!$B$6:$D$42,2,0)</f>
        <v>#N/A</v>
      </c>
      <c r="F26" s="18" t="str">
        <f t="shared" si="9"/>
        <v/>
      </c>
      <c r="G26" s="18" t="e">
        <f>+VLOOKUP(D26,Cadencier!$B$6:$D$42,3,0)</f>
        <v>#N/A</v>
      </c>
      <c r="H26" s="18" t="str">
        <f t="shared" si="0"/>
        <v/>
      </c>
      <c r="I26" s="23"/>
      <c r="J26" s="24"/>
      <c r="K26" s="24"/>
      <c r="L26" s="25" t="str">
        <f t="shared" si="10"/>
        <v/>
      </c>
      <c r="M26" s="25">
        <f t="shared" si="11"/>
        <v>0</v>
      </c>
      <c r="N26" s="22"/>
      <c r="O26" s="18" t="str">
        <f t="shared" si="1"/>
        <v/>
      </c>
      <c r="P26" s="26" t="str">
        <f t="shared" si="12"/>
        <v>Néant</v>
      </c>
      <c r="Q26" s="27"/>
      <c r="R26" s="28"/>
      <c r="S26" s="18" t="str">
        <f t="shared" si="13"/>
        <v/>
      </c>
      <c r="T26" s="22"/>
      <c r="U26" s="18" t="str">
        <f t="shared" si="14"/>
        <v>renseigner CP</v>
      </c>
      <c r="V26" s="18" t="str">
        <f t="shared" si="2"/>
        <v/>
      </c>
      <c r="W26" s="32" t="str">
        <f t="shared" si="15"/>
        <v>renseigner CP</v>
      </c>
    </row>
    <row r="27" spans="1:23" x14ac:dyDescent="0.2">
      <c r="A27" s="31" t="s">
        <v>52</v>
      </c>
      <c r="B27" s="22"/>
      <c r="C27" s="22"/>
      <c r="D27" s="22"/>
      <c r="E27" s="18" t="e">
        <f>+VLOOKUP(D27,Cadencier!$B$6:$D$42,2,0)</f>
        <v>#N/A</v>
      </c>
      <c r="F27" s="18" t="str">
        <f t="shared" si="9"/>
        <v/>
      </c>
      <c r="G27" s="18" t="e">
        <f>+VLOOKUP(D27,Cadencier!$B$6:$D$42,3,0)</f>
        <v>#N/A</v>
      </c>
      <c r="H27" s="18" t="str">
        <f t="shared" si="0"/>
        <v/>
      </c>
      <c r="I27" s="23"/>
      <c r="J27" s="24"/>
      <c r="K27" s="24"/>
      <c r="L27" s="25" t="str">
        <f t="shared" si="10"/>
        <v/>
      </c>
      <c r="M27" s="25">
        <f t="shared" si="11"/>
        <v>0</v>
      </c>
      <c r="N27" s="22"/>
      <c r="O27" s="18" t="str">
        <f t="shared" si="1"/>
        <v/>
      </c>
      <c r="P27" s="26" t="str">
        <f t="shared" si="12"/>
        <v>Néant</v>
      </c>
      <c r="Q27" s="27"/>
      <c r="R27" s="28"/>
      <c r="S27" s="18" t="str">
        <f t="shared" si="13"/>
        <v/>
      </c>
      <c r="T27" s="22"/>
      <c r="U27" s="18" t="str">
        <f t="shared" si="14"/>
        <v>renseigner CP</v>
      </c>
      <c r="V27" s="18" t="str">
        <f t="shared" si="2"/>
        <v/>
      </c>
      <c r="W27" s="32" t="str">
        <f t="shared" si="15"/>
        <v>renseigner CP</v>
      </c>
    </row>
    <row r="28" spans="1:23" x14ac:dyDescent="0.2">
      <c r="A28" s="31" t="s">
        <v>52</v>
      </c>
      <c r="B28" s="22"/>
      <c r="C28" s="22"/>
      <c r="D28" s="22"/>
      <c r="E28" s="18" t="e">
        <f>+VLOOKUP(D28,Cadencier!$B$6:$D$42,2,0)</f>
        <v>#N/A</v>
      </c>
      <c r="F28" s="18" t="str">
        <f t="shared" si="9"/>
        <v/>
      </c>
      <c r="G28" s="18" t="e">
        <f>+VLOOKUP(D28,Cadencier!$B$6:$D$42,3,0)</f>
        <v>#N/A</v>
      </c>
      <c r="H28" s="18" t="str">
        <f t="shared" si="0"/>
        <v/>
      </c>
      <c r="I28" s="23"/>
      <c r="J28" s="24"/>
      <c r="K28" s="24"/>
      <c r="L28" s="25" t="str">
        <f t="shared" si="10"/>
        <v/>
      </c>
      <c r="M28" s="25">
        <f t="shared" si="11"/>
        <v>0</v>
      </c>
      <c r="N28" s="22"/>
      <c r="O28" s="18" t="str">
        <f t="shared" si="1"/>
        <v/>
      </c>
      <c r="P28" s="26" t="str">
        <f t="shared" si="12"/>
        <v>Néant</v>
      </c>
      <c r="Q28" s="27"/>
      <c r="R28" s="28"/>
      <c r="S28" s="18" t="str">
        <f t="shared" si="13"/>
        <v/>
      </c>
      <c r="T28" s="22"/>
      <c r="U28" s="18" t="str">
        <f t="shared" si="14"/>
        <v>renseigner CP</v>
      </c>
      <c r="V28" s="18" t="str">
        <f t="shared" si="2"/>
        <v/>
      </c>
      <c r="W28" s="32" t="str">
        <f t="shared" si="15"/>
        <v>renseigner CP</v>
      </c>
    </row>
    <row r="29" spans="1:23" x14ac:dyDescent="0.2">
      <c r="A29" s="31" t="s">
        <v>52</v>
      </c>
      <c r="B29" s="22"/>
      <c r="C29" s="22"/>
      <c r="D29" s="22"/>
      <c r="E29" s="18" t="e">
        <f>+VLOOKUP(D29,Cadencier!$B$6:$D$42,2,0)</f>
        <v>#N/A</v>
      </c>
      <c r="F29" s="18" t="str">
        <f t="shared" si="9"/>
        <v/>
      </c>
      <c r="G29" s="18" t="e">
        <f>+VLOOKUP(D29,Cadencier!$B$6:$D$42,3,0)</f>
        <v>#N/A</v>
      </c>
      <c r="H29" s="18" t="str">
        <f t="shared" si="0"/>
        <v/>
      </c>
      <c r="I29" s="23"/>
      <c r="J29" s="24"/>
      <c r="K29" s="24"/>
      <c r="L29" s="25" t="str">
        <f t="shared" si="10"/>
        <v/>
      </c>
      <c r="M29" s="25">
        <f t="shared" si="11"/>
        <v>0</v>
      </c>
      <c r="N29" s="22"/>
      <c r="O29" s="18" t="str">
        <f t="shared" si="1"/>
        <v/>
      </c>
      <c r="P29" s="26" t="str">
        <f t="shared" si="12"/>
        <v>Néant</v>
      </c>
      <c r="Q29" s="27"/>
      <c r="R29" s="28"/>
      <c r="S29" s="18" t="str">
        <f t="shared" si="13"/>
        <v/>
      </c>
      <c r="T29" s="22"/>
      <c r="U29" s="18" t="str">
        <f t="shared" si="14"/>
        <v>renseigner CP</v>
      </c>
      <c r="V29" s="18" t="str">
        <f t="shared" si="2"/>
        <v/>
      </c>
      <c r="W29" s="32" t="str">
        <f t="shared" si="15"/>
        <v>renseigner CP</v>
      </c>
    </row>
    <row r="30" spans="1:23" ht="11.25" customHeight="1" x14ac:dyDescent="0.2">
      <c r="A30" s="31" t="s">
        <v>52</v>
      </c>
      <c r="B30" s="22"/>
      <c r="C30" s="22"/>
      <c r="D30" s="22"/>
      <c r="E30" s="18" t="e">
        <f>+VLOOKUP(D30,Cadencier!$B$6:$D$42,2,0)</f>
        <v>#N/A</v>
      </c>
      <c r="F30" s="18" t="str">
        <f>+IF(ISNA(E30),"",E30)</f>
        <v/>
      </c>
      <c r="G30" s="18" t="e">
        <f>+VLOOKUP(D30,Cadencier!$B$6:$D$42,3,0)</f>
        <v>#N/A</v>
      </c>
      <c r="H30" s="18" t="str">
        <f>+IF(ISNA(G30),"",G30)</f>
        <v/>
      </c>
      <c r="I30" s="23"/>
      <c r="J30" s="24"/>
      <c r="K30" s="24"/>
      <c r="L30" s="25" t="str">
        <f>IF(I30="","",IF(I30="Fort",K30/F30,IF(I30="Faible",K30/H30)))</f>
        <v/>
      </c>
      <c r="M30" s="25">
        <f t="shared" si="11"/>
        <v>0</v>
      </c>
      <c r="N30" s="22"/>
      <c r="O30" s="18" t="str">
        <f t="shared" si="1"/>
        <v/>
      </c>
      <c r="P30" s="26" t="str">
        <f>IF(N30="J7",25%,"Néant")</f>
        <v>Néant</v>
      </c>
      <c r="Q30" s="27"/>
      <c r="R30" s="28"/>
      <c r="S30" s="18" t="str">
        <f t="shared" si="13"/>
        <v/>
      </c>
      <c r="T30" s="22"/>
      <c r="U30" s="18" t="str">
        <f>IF(T30="O",S30*10%+S30,IF(T30="N",S30,IF(T30="","renseigner CP")))</f>
        <v>renseigner CP</v>
      </c>
      <c r="V30" s="18" t="str">
        <f t="shared" si="2"/>
        <v/>
      </c>
      <c r="W30" s="32" t="str">
        <f t="shared" si="15"/>
        <v>renseigner CP</v>
      </c>
    </row>
    <row r="31" spans="1:23" x14ac:dyDescent="0.2">
      <c r="A31" s="31" t="s">
        <v>52</v>
      </c>
      <c r="B31" s="22"/>
      <c r="C31" s="22"/>
      <c r="D31" s="22"/>
      <c r="E31" s="18" t="e">
        <f>+VLOOKUP(D31,Cadencier!$B$6:$D$42,2,0)</f>
        <v>#N/A</v>
      </c>
      <c r="F31" s="18" t="str">
        <f t="shared" si="9"/>
        <v/>
      </c>
      <c r="G31" s="18" t="e">
        <f>+VLOOKUP(D31,Cadencier!$B$6:$D$42,3,0)</f>
        <v>#N/A</v>
      </c>
      <c r="H31" s="18" t="str">
        <f t="shared" si="0"/>
        <v/>
      </c>
      <c r="I31" s="23"/>
      <c r="J31" s="24"/>
      <c r="K31" s="24"/>
      <c r="L31" s="25" t="str">
        <f t="shared" si="10"/>
        <v/>
      </c>
      <c r="M31" s="25">
        <f t="shared" si="11"/>
        <v>0</v>
      </c>
      <c r="N31" s="22"/>
      <c r="O31" s="18" t="str">
        <f t="shared" si="1"/>
        <v/>
      </c>
      <c r="P31" s="26" t="str">
        <f t="shared" si="12"/>
        <v>Néant</v>
      </c>
      <c r="Q31" s="27"/>
      <c r="R31" s="28"/>
      <c r="S31" s="18" t="str">
        <f t="shared" si="13"/>
        <v/>
      </c>
      <c r="T31" s="22"/>
      <c r="U31" s="18" t="str">
        <f t="shared" si="14"/>
        <v>renseigner CP</v>
      </c>
      <c r="V31" s="18" t="str">
        <f t="shared" si="2"/>
        <v/>
      </c>
      <c r="W31" s="32" t="str">
        <f t="shared" si="15"/>
        <v>renseigner CP</v>
      </c>
    </row>
    <row r="32" spans="1:23" x14ac:dyDescent="0.2">
      <c r="A32" s="31" t="s">
        <v>52</v>
      </c>
      <c r="B32" s="22"/>
      <c r="C32" s="22"/>
      <c r="D32" s="22"/>
      <c r="E32" s="18" t="e">
        <f>+VLOOKUP(D32,Cadencier!$B$6:$D$42,2,0)</f>
        <v>#N/A</v>
      </c>
      <c r="F32" s="18" t="str">
        <f t="shared" si="9"/>
        <v/>
      </c>
      <c r="G32" s="18" t="e">
        <f>+VLOOKUP(D32,Cadencier!$B$6:$D$42,3,0)</f>
        <v>#N/A</v>
      </c>
      <c r="H32" s="18" t="str">
        <f t="shared" si="0"/>
        <v/>
      </c>
      <c r="I32" s="23"/>
      <c r="J32" s="24"/>
      <c r="K32" s="24"/>
      <c r="L32" s="25" t="str">
        <f t="shared" si="10"/>
        <v/>
      </c>
      <c r="M32" s="25">
        <f t="shared" si="11"/>
        <v>0</v>
      </c>
      <c r="N32" s="22"/>
      <c r="O32" s="18" t="str">
        <f t="shared" si="1"/>
        <v/>
      </c>
      <c r="P32" s="26" t="str">
        <f t="shared" si="12"/>
        <v>Néant</v>
      </c>
      <c r="Q32" s="27"/>
      <c r="R32" s="28"/>
      <c r="S32" s="18" t="str">
        <f t="shared" si="13"/>
        <v/>
      </c>
      <c r="T32" s="22"/>
      <c r="U32" s="18" t="str">
        <f t="shared" si="14"/>
        <v>renseigner CP</v>
      </c>
      <c r="V32" s="18" t="str">
        <f t="shared" si="2"/>
        <v/>
      </c>
      <c r="W32" s="32" t="str">
        <f t="shared" si="15"/>
        <v>renseigner CP</v>
      </c>
    </row>
    <row r="33" spans="1:23" x14ac:dyDescent="0.2">
      <c r="A33" s="31" t="s">
        <v>52</v>
      </c>
      <c r="B33" s="22"/>
      <c r="C33" s="22"/>
      <c r="D33" s="22"/>
      <c r="E33" s="18" t="e">
        <f>+VLOOKUP(D33,Cadencier!$B$6:$D$42,2,0)</f>
        <v>#N/A</v>
      </c>
      <c r="F33" s="18" t="str">
        <f t="shared" si="9"/>
        <v/>
      </c>
      <c r="G33" s="18" t="e">
        <f>+VLOOKUP(D33,Cadencier!$B$6:$D$42,3,0)</f>
        <v>#N/A</v>
      </c>
      <c r="H33" s="18" t="str">
        <f t="shared" si="0"/>
        <v/>
      </c>
      <c r="I33" s="23"/>
      <c r="J33" s="24"/>
      <c r="K33" s="24"/>
      <c r="L33" s="25" t="str">
        <f t="shared" si="10"/>
        <v/>
      </c>
      <c r="M33" s="25">
        <f t="shared" si="11"/>
        <v>0</v>
      </c>
      <c r="N33" s="22"/>
      <c r="O33" s="18" t="str">
        <f t="shared" si="1"/>
        <v/>
      </c>
      <c r="P33" s="26" t="str">
        <f t="shared" si="12"/>
        <v>Néant</v>
      </c>
      <c r="Q33" s="27"/>
      <c r="R33" s="28"/>
      <c r="S33" s="18" t="str">
        <f t="shared" si="13"/>
        <v/>
      </c>
      <c r="T33" s="22"/>
      <c r="U33" s="18" t="str">
        <f t="shared" si="14"/>
        <v>renseigner CP</v>
      </c>
      <c r="V33" s="18" t="str">
        <f t="shared" si="2"/>
        <v/>
      </c>
      <c r="W33" s="32" t="str">
        <f t="shared" si="15"/>
        <v>renseigner CP</v>
      </c>
    </row>
    <row r="34" spans="1:23" x14ac:dyDescent="0.2">
      <c r="A34" s="31" t="s">
        <v>52</v>
      </c>
      <c r="B34" s="22"/>
      <c r="C34" s="22"/>
      <c r="D34" s="22"/>
      <c r="E34" s="18" t="e">
        <f>+VLOOKUP(D34,Cadencier!$B$6:$D$42,2,0)</f>
        <v>#N/A</v>
      </c>
      <c r="F34" s="18" t="str">
        <f t="shared" si="9"/>
        <v/>
      </c>
      <c r="G34" s="18" t="e">
        <f>+VLOOKUP(D34,Cadencier!$B$6:$D$42,3,0)</f>
        <v>#N/A</v>
      </c>
      <c r="H34" s="18" t="str">
        <f t="shared" si="0"/>
        <v/>
      </c>
      <c r="I34" s="23"/>
      <c r="J34" s="24"/>
      <c r="K34" s="24"/>
      <c r="L34" s="25" t="str">
        <f t="shared" si="10"/>
        <v/>
      </c>
      <c r="M34" s="25">
        <f t="shared" si="11"/>
        <v>0</v>
      </c>
      <c r="N34" s="22"/>
      <c r="O34" s="18" t="str">
        <f t="shared" si="1"/>
        <v/>
      </c>
      <c r="P34" s="26" t="str">
        <f t="shared" si="12"/>
        <v>Néant</v>
      </c>
      <c r="Q34" s="27"/>
      <c r="R34" s="28"/>
      <c r="S34" s="18" t="str">
        <f t="shared" si="13"/>
        <v/>
      </c>
      <c r="T34" s="22"/>
      <c r="U34" s="18" t="str">
        <f t="shared" si="14"/>
        <v>renseigner CP</v>
      </c>
      <c r="V34" s="18" t="str">
        <f t="shared" si="2"/>
        <v/>
      </c>
      <c r="W34" s="32" t="str">
        <f t="shared" si="15"/>
        <v>renseigner CP</v>
      </c>
    </row>
    <row r="35" spans="1:23" x14ac:dyDescent="0.2">
      <c r="A35" s="31" t="s">
        <v>52</v>
      </c>
      <c r="B35" s="22"/>
      <c r="C35" s="22"/>
      <c r="D35" s="22"/>
      <c r="E35" s="18" t="e">
        <f>+VLOOKUP(D35,Cadencier!$B$6:$D$42,2,0)</f>
        <v>#N/A</v>
      </c>
      <c r="F35" s="18" t="str">
        <f t="shared" si="9"/>
        <v/>
      </c>
      <c r="G35" s="18" t="e">
        <f>+VLOOKUP(D35,Cadencier!$B$6:$D$42,3,0)</f>
        <v>#N/A</v>
      </c>
      <c r="H35" s="18" t="str">
        <f t="shared" si="0"/>
        <v/>
      </c>
      <c r="I35" s="23"/>
      <c r="J35" s="24"/>
      <c r="K35" s="24"/>
      <c r="L35" s="25" t="str">
        <f t="shared" si="10"/>
        <v/>
      </c>
      <c r="M35" s="25">
        <f t="shared" si="11"/>
        <v>0</v>
      </c>
      <c r="N35" s="22"/>
      <c r="O35" s="18" t="str">
        <f t="shared" si="1"/>
        <v/>
      </c>
      <c r="P35" s="26" t="str">
        <f t="shared" si="12"/>
        <v>Néant</v>
      </c>
      <c r="Q35" s="27"/>
      <c r="R35" s="28"/>
      <c r="S35" s="18" t="str">
        <f t="shared" si="13"/>
        <v/>
      </c>
      <c r="T35" s="22"/>
      <c r="U35" s="18" t="str">
        <f t="shared" si="14"/>
        <v>renseigner CP</v>
      </c>
      <c r="V35" s="18" t="str">
        <f t="shared" si="2"/>
        <v/>
      </c>
      <c r="W35" s="32" t="str">
        <f t="shared" si="15"/>
        <v>renseigner CP</v>
      </c>
    </row>
    <row r="36" spans="1:23" x14ac:dyDescent="0.2">
      <c r="A36" s="31" t="s">
        <v>52</v>
      </c>
      <c r="B36" s="22"/>
      <c r="C36" s="22"/>
      <c r="D36" s="22"/>
      <c r="E36" s="18" t="e">
        <f>+VLOOKUP(D36,Cadencier!$B$6:$D$42,2,0)</f>
        <v>#N/A</v>
      </c>
      <c r="F36" s="18" t="str">
        <f t="shared" si="9"/>
        <v/>
      </c>
      <c r="G36" s="18" t="e">
        <f>+VLOOKUP(D36,Cadencier!$B$6:$D$42,3,0)</f>
        <v>#N/A</v>
      </c>
      <c r="H36" s="18" t="str">
        <f t="shared" si="0"/>
        <v/>
      </c>
      <c r="I36" s="23"/>
      <c r="J36" s="24"/>
      <c r="K36" s="24"/>
      <c r="L36" s="25" t="str">
        <f t="shared" si="10"/>
        <v/>
      </c>
      <c r="M36" s="25">
        <f t="shared" si="11"/>
        <v>0</v>
      </c>
      <c r="N36" s="22"/>
      <c r="O36" s="18" t="str">
        <f t="shared" si="1"/>
        <v/>
      </c>
      <c r="P36" s="26" t="str">
        <f t="shared" si="12"/>
        <v>Néant</v>
      </c>
      <c r="Q36" s="27"/>
      <c r="R36" s="28"/>
      <c r="S36" s="18" t="str">
        <f t="shared" si="13"/>
        <v/>
      </c>
      <c r="T36" s="22"/>
      <c r="U36" s="18" t="str">
        <f t="shared" si="14"/>
        <v>renseigner CP</v>
      </c>
      <c r="V36" s="18" t="str">
        <f t="shared" si="2"/>
        <v/>
      </c>
      <c r="W36" s="32" t="str">
        <f t="shared" si="15"/>
        <v>renseigner CP</v>
      </c>
    </row>
    <row r="37" spans="1:23" x14ac:dyDescent="0.2">
      <c r="A37" s="31" t="s">
        <v>52</v>
      </c>
      <c r="B37" s="22"/>
      <c r="C37" s="22"/>
      <c r="D37" s="22"/>
      <c r="E37" s="18" t="e">
        <f>+VLOOKUP(D37,Cadencier!$B$6:$D$42,2,0)</f>
        <v>#N/A</v>
      </c>
      <c r="F37" s="18" t="str">
        <f t="shared" si="9"/>
        <v/>
      </c>
      <c r="G37" s="18" t="e">
        <f>+VLOOKUP(D37,Cadencier!$B$6:$D$42,3,0)</f>
        <v>#N/A</v>
      </c>
      <c r="H37" s="18" t="str">
        <f t="shared" si="0"/>
        <v/>
      </c>
      <c r="I37" s="23"/>
      <c r="J37" s="24"/>
      <c r="K37" s="24"/>
      <c r="L37" s="25" t="str">
        <f t="shared" si="10"/>
        <v/>
      </c>
      <c r="M37" s="25">
        <f t="shared" si="11"/>
        <v>0</v>
      </c>
      <c r="N37" s="22"/>
      <c r="O37" s="18" t="str">
        <f t="shared" si="1"/>
        <v/>
      </c>
      <c r="P37" s="26" t="str">
        <f t="shared" si="12"/>
        <v>Néant</v>
      </c>
      <c r="Q37" s="27"/>
      <c r="R37" s="28"/>
      <c r="S37" s="18" t="str">
        <f t="shared" si="13"/>
        <v/>
      </c>
      <c r="T37" s="22"/>
      <c r="U37" s="18" t="str">
        <f t="shared" si="14"/>
        <v>renseigner CP</v>
      </c>
      <c r="V37" s="18" t="str">
        <f t="shared" si="2"/>
        <v/>
      </c>
      <c r="W37" s="32" t="str">
        <f t="shared" si="15"/>
        <v>renseigner CP</v>
      </c>
    </row>
    <row r="38" spans="1:23" x14ac:dyDescent="0.2">
      <c r="A38" s="31" t="s">
        <v>52</v>
      </c>
      <c r="B38" s="22"/>
      <c r="C38" s="22"/>
      <c r="D38" s="22"/>
      <c r="E38" s="18" t="e">
        <f>+VLOOKUP(D38,Cadencier!$B$6:$D$42,2,0)</f>
        <v>#N/A</v>
      </c>
      <c r="F38" s="18" t="str">
        <f t="shared" si="9"/>
        <v/>
      </c>
      <c r="G38" s="18" t="e">
        <f>+VLOOKUP(D38,Cadencier!$B$6:$D$42,3,0)</f>
        <v>#N/A</v>
      </c>
      <c r="H38" s="18" t="str">
        <f t="shared" si="0"/>
        <v/>
      </c>
      <c r="I38" s="23"/>
      <c r="J38" s="24"/>
      <c r="K38" s="24"/>
      <c r="L38" s="25" t="str">
        <f t="shared" si="10"/>
        <v/>
      </c>
      <c r="M38" s="25">
        <f t="shared" si="11"/>
        <v>0</v>
      </c>
      <c r="N38" s="22"/>
      <c r="O38" s="18" t="str">
        <f t="shared" si="1"/>
        <v/>
      </c>
      <c r="P38" s="26" t="str">
        <f t="shared" si="12"/>
        <v>Néant</v>
      </c>
      <c r="Q38" s="27"/>
      <c r="R38" s="28"/>
      <c r="S38" s="18" t="str">
        <f t="shared" si="13"/>
        <v/>
      </c>
      <c r="T38" s="22"/>
      <c r="U38" s="18" t="str">
        <f t="shared" si="14"/>
        <v>renseigner CP</v>
      </c>
      <c r="V38" s="18" t="str">
        <f t="shared" si="2"/>
        <v/>
      </c>
      <c r="W38" s="32" t="str">
        <f t="shared" si="15"/>
        <v>renseigner CP</v>
      </c>
    </row>
    <row r="39" spans="1:23" x14ac:dyDescent="0.2">
      <c r="A39" s="31" t="s">
        <v>52</v>
      </c>
      <c r="B39" s="22"/>
      <c r="C39" s="22"/>
      <c r="D39" s="22"/>
      <c r="E39" s="18" t="e">
        <f>+VLOOKUP(D39,Cadencier!$B$6:$D$42,2,0)</f>
        <v>#N/A</v>
      </c>
      <c r="F39" s="18" t="str">
        <f t="shared" si="9"/>
        <v/>
      </c>
      <c r="G39" s="18" t="e">
        <f>+VLOOKUP(D39,Cadencier!$B$6:$D$42,3,0)</f>
        <v>#N/A</v>
      </c>
      <c r="H39" s="18" t="str">
        <f t="shared" si="0"/>
        <v/>
      </c>
      <c r="I39" s="23"/>
      <c r="J39" s="24"/>
      <c r="K39" s="24"/>
      <c r="L39" s="25" t="str">
        <f t="shared" si="10"/>
        <v/>
      </c>
      <c r="M39" s="25">
        <f t="shared" si="11"/>
        <v>0</v>
      </c>
      <c r="N39" s="22"/>
      <c r="O39" s="18" t="str">
        <f t="shared" si="1"/>
        <v/>
      </c>
      <c r="P39" s="26" t="str">
        <f t="shared" si="12"/>
        <v>Néant</v>
      </c>
      <c r="Q39" s="27"/>
      <c r="R39" s="28"/>
      <c r="S39" s="18" t="str">
        <f t="shared" si="13"/>
        <v/>
      </c>
      <c r="T39" s="22"/>
      <c r="U39" s="18" t="str">
        <f t="shared" si="14"/>
        <v>renseigner CP</v>
      </c>
      <c r="V39" s="18" t="str">
        <f t="shared" si="2"/>
        <v/>
      </c>
      <c r="W39" s="32" t="str">
        <f t="shared" si="15"/>
        <v>renseigner CP</v>
      </c>
    </row>
    <row r="40" spans="1:23" x14ac:dyDescent="0.2">
      <c r="A40" s="31" t="s">
        <v>52</v>
      </c>
      <c r="B40" s="22"/>
      <c r="C40" s="22"/>
      <c r="D40" s="22"/>
      <c r="E40" s="18" t="e">
        <f>+VLOOKUP(D40,Cadencier!$B$6:$D$42,2,0)</f>
        <v>#N/A</v>
      </c>
      <c r="F40" s="18" t="str">
        <f t="shared" si="9"/>
        <v/>
      </c>
      <c r="G40" s="18" t="e">
        <f>+VLOOKUP(D40,Cadencier!$B$6:$D$42,3,0)</f>
        <v>#N/A</v>
      </c>
      <c r="H40" s="18" t="str">
        <f t="shared" si="0"/>
        <v/>
      </c>
      <c r="I40" s="23"/>
      <c r="J40" s="24"/>
      <c r="K40" s="24"/>
      <c r="L40" s="25" t="str">
        <f t="shared" si="10"/>
        <v/>
      </c>
      <c r="M40" s="25">
        <f t="shared" si="11"/>
        <v>0</v>
      </c>
      <c r="N40" s="22"/>
      <c r="O40" s="18" t="str">
        <f t="shared" si="1"/>
        <v/>
      </c>
      <c r="P40" s="26" t="str">
        <f t="shared" si="12"/>
        <v>Néant</v>
      </c>
      <c r="Q40" s="27"/>
      <c r="R40" s="28"/>
      <c r="S40" s="18" t="str">
        <f t="shared" si="13"/>
        <v/>
      </c>
      <c r="T40" s="22"/>
      <c r="U40" s="18" t="str">
        <f t="shared" si="14"/>
        <v>renseigner CP</v>
      </c>
      <c r="V40" s="18" t="str">
        <f t="shared" si="2"/>
        <v/>
      </c>
      <c r="W40" s="32" t="str">
        <f t="shared" si="15"/>
        <v>renseigner CP</v>
      </c>
    </row>
    <row r="41" spans="1:23" x14ac:dyDescent="0.2">
      <c r="A41" s="31" t="s">
        <v>52</v>
      </c>
      <c r="B41" s="22"/>
      <c r="C41" s="22"/>
      <c r="D41" s="22"/>
      <c r="E41" s="18" t="e">
        <f>+VLOOKUP(D41,Cadencier!$B$6:$D$42,2,0)</f>
        <v>#N/A</v>
      </c>
      <c r="F41" s="18" t="str">
        <f t="shared" si="9"/>
        <v/>
      </c>
      <c r="G41" s="18" t="e">
        <f>+VLOOKUP(D41,Cadencier!$B$6:$D$42,3,0)</f>
        <v>#N/A</v>
      </c>
      <c r="H41" s="18" t="str">
        <f t="shared" si="0"/>
        <v/>
      </c>
      <c r="I41" s="23"/>
      <c r="J41" s="24"/>
      <c r="K41" s="24"/>
      <c r="L41" s="25" t="str">
        <f t="shared" si="10"/>
        <v/>
      </c>
      <c r="M41" s="25">
        <f t="shared" si="11"/>
        <v>0</v>
      </c>
      <c r="N41" s="22"/>
      <c r="O41" s="18" t="str">
        <f t="shared" si="1"/>
        <v/>
      </c>
      <c r="P41" s="26" t="str">
        <f t="shared" si="12"/>
        <v>Néant</v>
      </c>
      <c r="Q41" s="27"/>
      <c r="R41" s="28"/>
      <c r="S41" s="18" t="str">
        <f t="shared" si="13"/>
        <v/>
      </c>
      <c r="T41" s="22"/>
      <c r="U41" s="18" t="str">
        <f t="shared" si="14"/>
        <v>renseigner CP</v>
      </c>
      <c r="V41" s="18" t="str">
        <f t="shared" si="2"/>
        <v/>
      </c>
      <c r="W41" s="32" t="str">
        <f t="shared" si="15"/>
        <v>renseigner CP</v>
      </c>
    </row>
    <row r="42" spans="1:23" x14ac:dyDescent="0.2">
      <c r="A42" s="31" t="s">
        <v>52</v>
      </c>
      <c r="B42" s="22"/>
      <c r="C42" s="22"/>
      <c r="D42" s="22"/>
      <c r="E42" s="18" t="e">
        <f>+VLOOKUP(D42,Cadencier!$B$6:$D$42,2,0)</f>
        <v>#N/A</v>
      </c>
      <c r="F42" s="18" t="str">
        <f t="shared" si="9"/>
        <v/>
      </c>
      <c r="G42" s="18" t="e">
        <f>+VLOOKUP(D42,Cadencier!$B$6:$D$42,3,0)</f>
        <v>#N/A</v>
      </c>
      <c r="H42" s="18" t="str">
        <f t="shared" si="0"/>
        <v/>
      </c>
      <c r="I42" s="23"/>
      <c r="J42" s="24"/>
      <c r="K42" s="24"/>
      <c r="L42" s="25" t="str">
        <f t="shared" si="10"/>
        <v/>
      </c>
      <c r="M42" s="25">
        <f t="shared" si="11"/>
        <v>0</v>
      </c>
      <c r="N42" s="22"/>
      <c r="O42" s="18" t="str">
        <f t="shared" si="1"/>
        <v/>
      </c>
      <c r="P42" s="26" t="str">
        <f t="shared" si="12"/>
        <v>Néant</v>
      </c>
      <c r="Q42" s="27"/>
      <c r="R42" s="28"/>
      <c r="S42" s="18" t="str">
        <f t="shared" si="13"/>
        <v/>
      </c>
      <c r="T42" s="22"/>
      <c r="U42" s="18" t="str">
        <f t="shared" si="14"/>
        <v>renseigner CP</v>
      </c>
      <c r="V42" s="18" t="str">
        <f t="shared" si="2"/>
        <v/>
      </c>
      <c r="W42" s="32" t="str">
        <f t="shared" si="15"/>
        <v>renseigner CP</v>
      </c>
    </row>
    <row r="43" spans="1:23" x14ac:dyDescent="0.2">
      <c r="A43" s="31" t="s">
        <v>52</v>
      </c>
      <c r="B43" s="22"/>
      <c r="C43" s="22"/>
      <c r="D43" s="22"/>
      <c r="E43" s="18" t="e">
        <f>+VLOOKUP(D43,Cadencier!$B$6:$D$42,2,0)</f>
        <v>#N/A</v>
      </c>
      <c r="F43" s="18" t="str">
        <f t="shared" si="9"/>
        <v/>
      </c>
      <c r="G43" s="18" t="e">
        <f>+VLOOKUP(D43,Cadencier!$B$6:$D$42,3,0)</f>
        <v>#N/A</v>
      </c>
      <c r="H43" s="18" t="str">
        <f t="shared" si="0"/>
        <v/>
      </c>
      <c r="I43" s="23"/>
      <c r="J43" s="24"/>
      <c r="K43" s="24"/>
      <c r="L43" s="25" t="str">
        <f t="shared" si="10"/>
        <v/>
      </c>
      <c r="M43" s="25">
        <f t="shared" si="11"/>
        <v>0</v>
      </c>
      <c r="N43" s="22"/>
      <c r="O43" s="18" t="str">
        <f t="shared" si="1"/>
        <v/>
      </c>
      <c r="P43" s="26" t="str">
        <f t="shared" si="12"/>
        <v>Néant</v>
      </c>
      <c r="Q43" s="27"/>
      <c r="R43" s="28"/>
      <c r="S43" s="18" t="str">
        <f t="shared" si="13"/>
        <v/>
      </c>
      <c r="T43" s="22"/>
      <c r="U43" s="18" t="str">
        <f t="shared" si="14"/>
        <v>renseigner CP</v>
      </c>
      <c r="V43" s="18" t="str">
        <f t="shared" si="2"/>
        <v/>
      </c>
      <c r="W43" s="32" t="str">
        <f t="shared" si="15"/>
        <v>renseigner CP</v>
      </c>
    </row>
    <row r="44" spans="1:23" x14ac:dyDescent="0.2">
      <c r="A44" s="31" t="s">
        <v>52</v>
      </c>
      <c r="B44" s="22"/>
      <c r="C44" s="22"/>
      <c r="D44" s="22"/>
      <c r="E44" s="18" t="e">
        <f>+VLOOKUP(D44,Cadencier!$B$6:$D$42,2,0)</f>
        <v>#N/A</v>
      </c>
      <c r="F44" s="18" t="str">
        <f t="shared" si="9"/>
        <v/>
      </c>
      <c r="G44" s="18" t="e">
        <f>+VLOOKUP(D44,Cadencier!$B$6:$D$42,3,0)</f>
        <v>#N/A</v>
      </c>
      <c r="H44" s="18" t="str">
        <f t="shared" si="0"/>
        <v/>
      </c>
      <c r="I44" s="23"/>
      <c r="J44" s="24"/>
      <c r="K44" s="24"/>
      <c r="L44" s="25" t="str">
        <f t="shared" si="10"/>
        <v/>
      </c>
      <c r="M44" s="25">
        <f t="shared" si="11"/>
        <v>0</v>
      </c>
      <c r="N44" s="22"/>
      <c r="O44" s="18" t="str">
        <f t="shared" si="1"/>
        <v/>
      </c>
      <c r="P44" s="26" t="str">
        <f t="shared" si="12"/>
        <v>Néant</v>
      </c>
      <c r="Q44" s="27"/>
      <c r="R44" s="28"/>
      <c r="S44" s="18" t="str">
        <f t="shared" si="13"/>
        <v/>
      </c>
      <c r="T44" s="22"/>
      <c r="U44" s="18" t="str">
        <f t="shared" si="14"/>
        <v>renseigner CP</v>
      </c>
      <c r="V44" s="18" t="str">
        <f t="shared" si="2"/>
        <v/>
      </c>
      <c r="W44" s="32" t="str">
        <f t="shared" si="15"/>
        <v>renseigner CP</v>
      </c>
    </row>
    <row r="45" spans="1:23" ht="11.25" customHeight="1" x14ac:dyDescent="0.2">
      <c r="A45" s="31" t="s">
        <v>52</v>
      </c>
      <c r="B45" s="22"/>
      <c r="C45" s="22"/>
      <c r="D45" s="22"/>
      <c r="E45" s="18" t="e">
        <f>+VLOOKUP(D45,Cadencier!$B$6:$D$42,2,0)</f>
        <v>#N/A</v>
      </c>
      <c r="F45" s="18" t="str">
        <f t="shared" ref="F45:F59" si="25">+IF(ISNA(E45),"",E45)</f>
        <v/>
      </c>
      <c r="G45" s="18" t="e">
        <f>+VLOOKUP(D45,Cadencier!$B$6:$D$42,3,0)</f>
        <v>#N/A</v>
      </c>
      <c r="H45" s="18" t="str">
        <f>+IF(ISNA(G45),"",G45)</f>
        <v/>
      </c>
      <c r="I45" s="23"/>
      <c r="J45" s="24"/>
      <c r="K45" s="24"/>
      <c r="L45" s="25" t="str">
        <f t="shared" ref="L45:L59" si="26">IF(I45="","",IF(I45="Fort",K45/F45,IF(I45="Faible",K45/H45)))</f>
        <v/>
      </c>
      <c r="M45" s="25">
        <f t="shared" si="11"/>
        <v>0</v>
      </c>
      <c r="N45" s="22"/>
      <c r="O45" s="18" t="str">
        <f t="shared" si="1"/>
        <v/>
      </c>
      <c r="P45" s="26" t="str">
        <f t="shared" ref="P45:P59" si="27">IF(N45="J7",25%,"Néant")</f>
        <v>Néant</v>
      </c>
      <c r="Q45" s="27"/>
      <c r="R45" s="28"/>
      <c r="S45" s="18" t="str">
        <f t="shared" si="13"/>
        <v/>
      </c>
      <c r="T45" s="22"/>
      <c r="U45" s="18" t="str">
        <f t="shared" ref="U45:U59" si="28">IF(T45="O",S45*10%+S45,IF(T45="N",S45,IF(T45="","renseigner CP")))</f>
        <v>renseigner CP</v>
      </c>
      <c r="V45" s="18" t="str">
        <f t="shared" si="2"/>
        <v/>
      </c>
      <c r="W45" s="32" t="str">
        <f t="shared" ref="W45:W59" si="29">IF(T45="O",V45*10%+V45,IF(T45="N",V45,IF(T45="","renseigner CP")))</f>
        <v>renseigner CP</v>
      </c>
    </row>
    <row r="46" spans="1:23" ht="11.25" customHeight="1" x14ac:dyDescent="0.2">
      <c r="A46" s="31" t="s">
        <v>52</v>
      </c>
      <c r="B46" s="22"/>
      <c r="C46" s="22"/>
      <c r="D46" s="22"/>
      <c r="E46" s="18" t="e">
        <f>+VLOOKUP(D46,Cadencier!$B$6:$D$42,2,0)</f>
        <v>#N/A</v>
      </c>
      <c r="F46" s="18" t="str">
        <f t="shared" si="25"/>
        <v/>
      </c>
      <c r="G46" s="18" t="e">
        <f>+VLOOKUP(D46,Cadencier!$B$6:$D$42,3,0)</f>
        <v>#N/A</v>
      </c>
      <c r="H46" s="18" t="str">
        <f>+IF(ISNA(G46),"",G46)</f>
        <v/>
      </c>
      <c r="I46" s="23"/>
      <c r="J46" s="24"/>
      <c r="K46" s="24"/>
      <c r="L46" s="25" t="str">
        <f t="shared" si="26"/>
        <v/>
      </c>
      <c r="M46" s="25">
        <f t="shared" si="11"/>
        <v>0</v>
      </c>
      <c r="N46" s="22"/>
      <c r="O46" s="18" t="str">
        <f t="shared" si="1"/>
        <v/>
      </c>
      <c r="P46" s="26" t="str">
        <f t="shared" si="27"/>
        <v>Néant</v>
      </c>
      <c r="Q46" s="27"/>
      <c r="R46" s="28"/>
      <c r="S46" s="18" t="str">
        <f t="shared" si="13"/>
        <v/>
      </c>
      <c r="T46" s="22"/>
      <c r="U46" s="18" t="str">
        <f t="shared" si="28"/>
        <v>renseigner CP</v>
      </c>
      <c r="V46" s="18" t="str">
        <f t="shared" si="2"/>
        <v/>
      </c>
      <c r="W46" s="32" t="str">
        <f t="shared" si="29"/>
        <v>renseigner CP</v>
      </c>
    </row>
    <row r="47" spans="1:23" ht="11.25" customHeight="1" x14ac:dyDescent="0.2">
      <c r="A47" s="31" t="s">
        <v>52</v>
      </c>
      <c r="B47" s="22"/>
      <c r="C47" s="22"/>
      <c r="D47" s="22"/>
      <c r="E47" s="18" t="e">
        <f>+VLOOKUP(D47,Cadencier!$B$6:$D$42,2,0)</f>
        <v>#N/A</v>
      </c>
      <c r="F47" s="18" t="str">
        <f t="shared" si="25"/>
        <v/>
      </c>
      <c r="G47" s="18" t="e">
        <f>+VLOOKUP(D47,Cadencier!$B$6:$D$42,3,0)</f>
        <v>#N/A</v>
      </c>
      <c r="H47" s="18" t="str">
        <f>+IF(ISNA(G47),"",G47)</f>
        <v/>
      </c>
      <c r="I47" s="23"/>
      <c r="J47" s="24"/>
      <c r="K47" s="24"/>
      <c r="L47" s="25" t="str">
        <f t="shared" si="26"/>
        <v/>
      </c>
      <c r="M47" s="25">
        <f t="shared" si="11"/>
        <v>0</v>
      </c>
      <c r="N47" s="22"/>
      <c r="O47" s="18" t="str">
        <f t="shared" si="1"/>
        <v/>
      </c>
      <c r="P47" s="26" t="str">
        <f t="shared" si="27"/>
        <v>Néant</v>
      </c>
      <c r="Q47" s="27"/>
      <c r="R47" s="28"/>
      <c r="S47" s="18" t="str">
        <f t="shared" ref="S47:S59" si="30">IF($N47="J5",(L47+$R47)*5*52,IF($N47="J6",(L47+$R47)*6*52,IF($N47="J7",(L47+$R47)*6*52+(L47+$R47)*1*(100%+$P47)*52,IF(N47="Hebdo",(L47+$R47)*1*52,IF(N47="Bi-Hebdo",(L47+$R47)*2*52,IF(N47="M",(L47+$R47)*12,IF(N47="Bi-M",(L47+$R47)*2*12,IF(N47="Trim",(L47+$R47)*4,IF(N47="Sem",(L47+$R47)*2,IF(N47="An",(L47+$R47)*1,IF(N47="","")))))))))))</f>
        <v/>
      </c>
      <c r="T47" s="22"/>
      <c r="U47" s="18" t="str">
        <f t="shared" si="28"/>
        <v>renseigner CP</v>
      </c>
      <c r="V47" s="18" t="str">
        <f t="shared" si="2"/>
        <v/>
      </c>
      <c r="W47" s="32" t="str">
        <f t="shared" si="29"/>
        <v>renseigner CP</v>
      </c>
    </row>
    <row r="48" spans="1:23" ht="11.25" customHeight="1" x14ac:dyDescent="0.2">
      <c r="A48" s="31" t="s">
        <v>52</v>
      </c>
      <c r="B48" s="22"/>
      <c r="C48" s="22"/>
      <c r="D48" s="22"/>
      <c r="E48" s="18" t="e">
        <f>+VLOOKUP(D48,Cadencier!$B$6:$D$42,2,0)</f>
        <v>#N/A</v>
      </c>
      <c r="F48" s="18" t="str">
        <f t="shared" si="25"/>
        <v/>
      </c>
      <c r="G48" s="18" t="e">
        <f>+VLOOKUP(D48,Cadencier!$B$6:$D$42,3,0)</f>
        <v>#N/A</v>
      </c>
      <c r="H48" s="18" t="str">
        <f>+IF(ISNA(G48),"",G48)</f>
        <v/>
      </c>
      <c r="I48" s="23"/>
      <c r="J48" s="24"/>
      <c r="K48" s="24"/>
      <c r="L48" s="25" t="str">
        <f t="shared" si="26"/>
        <v/>
      </c>
      <c r="M48" s="25">
        <f t="shared" si="11"/>
        <v>0</v>
      </c>
      <c r="N48" s="22"/>
      <c r="O48" s="18" t="str">
        <f t="shared" si="1"/>
        <v/>
      </c>
      <c r="P48" s="26" t="str">
        <f t="shared" si="27"/>
        <v>Néant</v>
      </c>
      <c r="Q48" s="27"/>
      <c r="R48" s="28"/>
      <c r="S48" s="18" t="str">
        <f t="shared" si="30"/>
        <v/>
      </c>
      <c r="T48" s="22"/>
      <c r="U48" s="18" t="str">
        <f t="shared" si="28"/>
        <v>renseigner CP</v>
      </c>
      <c r="V48" s="18" t="str">
        <f t="shared" si="2"/>
        <v/>
      </c>
      <c r="W48" s="32" t="str">
        <f t="shared" si="29"/>
        <v>renseigner CP</v>
      </c>
    </row>
    <row r="49" spans="1:23" ht="11.25" customHeight="1" x14ac:dyDescent="0.2">
      <c r="A49" s="31" t="s">
        <v>52</v>
      </c>
      <c r="B49" s="22"/>
      <c r="C49" s="22"/>
      <c r="D49" s="22"/>
      <c r="E49" s="18" t="e">
        <f>+VLOOKUP(D49,Cadencier!$B$6:$D$42,2,0)</f>
        <v>#N/A</v>
      </c>
      <c r="F49" s="18" t="str">
        <f t="shared" si="25"/>
        <v/>
      </c>
      <c r="G49" s="18" t="e">
        <f>+VLOOKUP(D49,Cadencier!$B$6:$D$42,3,0)</f>
        <v>#N/A</v>
      </c>
      <c r="H49" s="18" t="str">
        <f>+IF(ISNA(G49),"",G49)</f>
        <v/>
      </c>
      <c r="I49" s="23"/>
      <c r="J49" s="24"/>
      <c r="K49" s="24"/>
      <c r="L49" s="25" t="str">
        <f t="shared" si="26"/>
        <v/>
      </c>
      <c r="M49" s="25">
        <f t="shared" ref="M49:M59" si="31">IF(J49&lt;=0,0,K49/J49)</f>
        <v>0</v>
      </c>
      <c r="N49" s="22"/>
      <c r="O49" s="18" t="str">
        <f t="shared" si="1"/>
        <v/>
      </c>
      <c r="P49" s="26" t="str">
        <f t="shared" si="27"/>
        <v>Néant</v>
      </c>
      <c r="Q49" s="27"/>
      <c r="R49" s="28"/>
      <c r="S49" s="18" t="str">
        <f t="shared" si="30"/>
        <v/>
      </c>
      <c r="T49" s="22"/>
      <c r="U49" s="18" t="str">
        <f t="shared" si="28"/>
        <v>renseigner CP</v>
      </c>
      <c r="V49" s="18" t="str">
        <f t="shared" ref="V49:V78" si="32">IF($N49="J5",(M49+$R49)*5*52,IF($N49="J6",(M49+$R49)*6*52,IF($N49="J7",(M49+$R49)*6*52+(M49+$R49)*1*(100%+$P49)*52,IF(N49="Hebdo",(M49+$R49)*1*52,IF(N49="Bi-Hebdo",(M49+$R49)*2*52,IF(N49="M",(M49+$R49)*12,IF(N49="Bi-M",(M49+$R49)*2*12,IF(N49="Trim",(M49+$R49)*4,IF(N49="Sem",(M49+$R49)*2,IF(N49="An",(M49+$R49)*1,IF(N49="","")))))))))))</f>
        <v/>
      </c>
      <c r="W49" s="32" t="str">
        <f t="shared" si="29"/>
        <v>renseigner CP</v>
      </c>
    </row>
    <row r="50" spans="1:23" ht="11.25" customHeight="1" x14ac:dyDescent="0.2">
      <c r="A50" s="31" t="s">
        <v>52</v>
      </c>
      <c r="B50" s="22"/>
      <c r="C50" s="22"/>
      <c r="D50" s="22"/>
      <c r="E50" s="18" t="e">
        <f>+VLOOKUP(D50,Cadencier!$B$6:$D$42,2,0)</f>
        <v>#N/A</v>
      </c>
      <c r="F50" s="18" t="str">
        <f t="shared" si="25"/>
        <v/>
      </c>
      <c r="G50" s="18" t="e">
        <f>+VLOOKUP(D50,Cadencier!$B$6:$D$42,3,0)</f>
        <v>#N/A</v>
      </c>
      <c r="H50" s="18" t="str">
        <f t="shared" ref="H50" si="33">+IF(ISNA(G50),"",G50)</f>
        <v/>
      </c>
      <c r="I50" s="23"/>
      <c r="J50" s="24"/>
      <c r="K50" s="24"/>
      <c r="L50" s="25" t="str">
        <f t="shared" si="26"/>
        <v/>
      </c>
      <c r="M50" s="25">
        <f t="shared" si="31"/>
        <v>0</v>
      </c>
      <c r="N50" s="22"/>
      <c r="O50" s="18" t="str">
        <f t="shared" ref="O50" si="34">IF($N50="J5",5*52,IF($N50="J6",6*52,IF($N50="J7",6*52+1*52,IF(N50="Hebdo",1*52,IF(N50="Bi-Hebdo",2*52,IF(N50="M",12,IF(N50="Bi-M",2*12,IF(N50="Trim",4,IF(N50="Sem",2,IF(N50="An",1,IF(N50="","")))))))))))</f>
        <v/>
      </c>
      <c r="P50" s="26" t="str">
        <f t="shared" si="27"/>
        <v>Néant</v>
      </c>
      <c r="Q50" s="27"/>
      <c r="R50" s="28"/>
      <c r="S50" s="18" t="str">
        <f t="shared" si="30"/>
        <v/>
      </c>
      <c r="T50" s="22"/>
      <c r="U50" s="18" t="str">
        <f t="shared" si="28"/>
        <v>renseigner CP</v>
      </c>
      <c r="V50" s="18" t="str">
        <f t="shared" si="32"/>
        <v/>
      </c>
      <c r="W50" s="32" t="str">
        <f t="shared" si="29"/>
        <v>renseigner CP</v>
      </c>
    </row>
    <row r="51" spans="1:23" ht="11.25" customHeight="1" x14ac:dyDescent="0.2">
      <c r="A51" s="31" t="s">
        <v>52</v>
      </c>
      <c r="B51" s="22"/>
      <c r="C51" s="22"/>
      <c r="D51" s="22"/>
      <c r="E51" s="18" t="e">
        <f>+VLOOKUP(D51,Cadencier!$B$6:$D$42,2,0)</f>
        <v>#N/A</v>
      </c>
      <c r="F51" s="18" t="str">
        <f t="shared" si="25"/>
        <v/>
      </c>
      <c r="G51" s="18" t="e">
        <f>+VLOOKUP(D51,Cadencier!$B$6:$D$42,3,0)</f>
        <v>#N/A</v>
      </c>
      <c r="H51" s="18" t="str">
        <f t="shared" ref="H51" si="35">+IF(ISNA(G51),"",G51)</f>
        <v/>
      </c>
      <c r="I51" s="23"/>
      <c r="J51" s="24"/>
      <c r="K51" s="24"/>
      <c r="L51" s="25" t="str">
        <f t="shared" si="26"/>
        <v/>
      </c>
      <c r="M51" s="25">
        <f t="shared" si="31"/>
        <v>0</v>
      </c>
      <c r="N51" s="22"/>
      <c r="O51" s="18" t="str">
        <f t="shared" ref="O51" si="36">IF($N51="J5",5*52,IF($N51="J6",6*52,IF($N51="J7",6*52+1*52,IF(N51="Hebdo",1*52,IF(N51="Bi-Hebdo",2*52,IF(N51="M",12,IF(N51="Bi-M",2*12,IF(N51="Trim",4,IF(N51="Sem",2,IF(N51="An",1,IF(N51="","")))))))))))</f>
        <v/>
      </c>
      <c r="P51" s="26" t="str">
        <f t="shared" si="27"/>
        <v>Néant</v>
      </c>
      <c r="Q51" s="27"/>
      <c r="R51" s="28"/>
      <c r="S51" s="18" t="str">
        <f t="shared" si="30"/>
        <v/>
      </c>
      <c r="T51" s="22"/>
      <c r="U51" s="18" t="str">
        <f t="shared" si="28"/>
        <v>renseigner CP</v>
      </c>
      <c r="V51" s="18" t="str">
        <f t="shared" si="32"/>
        <v/>
      </c>
      <c r="W51" s="32" t="str">
        <f t="shared" si="29"/>
        <v>renseigner CP</v>
      </c>
    </row>
    <row r="52" spans="1:23" ht="11.25" customHeight="1" x14ac:dyDescent="0.2">
      <c r="A52" s="31" t="s">
        <v>52</v>
      </c>
      <c r="B52" s="22"/>
      <c r="C52" s="22"/>
      <c r="D52" s="22"/>
      <c r="E52" s="18" t="e">
        <f>+VLOOKUP(D52,Cadencier!$B$6:$D$42,2,0)</f>
        <v>#N/A</v>
      </c>
      <c r="F52" s="18" t="str">
        <f t="shared" si="25"/>
        <v/>
      </c>
      <c r="G52" s="18" t="e">
        <f>+VLOOKUP(D52,Cadencier!$B$6:$D$42,3,0)</f>
        <v>#N/A</v>
      </c>
      <c r="H52" s="18" t="str">
        <f t="shared" ref="H52" si="37">+IF(ISNA(G52),"",G52)</f>
        <v/>
      </c>
      <c r="I52" s="23"/>
      <c r="J52" s="24"/>
      <c r="K52" s="24"/>
      <c r="L52" s="25" t="str">
        <f t="shared" si="26"/>
        <v/>
      </c>
      <c r="M52" s="25">
        <f t="shared" si="31"/>
        <v>0</v>
      </c>
      <c r="N52" s="22"/>
      <c r="O52" s="18" t="str">
        <f t="shared" ref="O52" si="38">IF($N52="J5",5*52,IF($N52="J6",6*52,IF($N52="J7",6*52+1*52,IF(N52="Hebdo",1*52,IF(N52="Bi-Hebdo",2*52,IF(N52="M",12,IF(N52="Bi-M",2*12,IF(N52="Trim",4,IF(N52="Sem",2,IF(N52="An",1,IF(N52="","")))))))))))</f>
        <v/>
      </c>
      <c r="P52" s="26" t="str">
        <f t="shared" si="27"/>
        <v>Néant</v>
      </c>
      <c r="Q52" s="27"/>
      <c r="R52" s="28"/>
      <c r="S52" s="18" t="str">
        <f t="shared" si="30"/>
        <v/>
      </c>
      <c r="T52" s="22"/>
      <c r="U52" s="18" t="str">
        <f t="shared" si="28"/>
        <v>renseigner CP</v>
      </c>
      <c r="V52" s="18" t="str">
        <f t="shared" si="32"/>
        <v/>
      </c>
      <c r="W52" s="32" t="str">
        <f t="shared" si="29"/>
        <v>renseigner CP</v>
      </c>
    </row>
    <row r="53" spans="1:23" ht="11.25" customHeight="1" x14ac:dyDescent="0.2">
      <c r="A53" s="31" t="s">
        <v>52</v>
      </c>
      <c r="B53" s="22"/>
      <c r="C53" s="22"/>
      <c r="D53" s="22"/>
      <c r="E53" s="18" t="e">
        <f>+VLOOKUP(D53,Cadencier!$B$6:$D$42,2,0)</f>
        <v>#N/A</v>
      </c>
      <c r="F53" s="18" t="str">
        <f t="shared" si="25"/>
        <v/>
      </c>
      <c r="G53" s="18" t="e">
        <f>+VLOOKUP(D53,Cadencier!$B$6:$D$42,3,0)</f>
        <v>#N/A</v>
      </c>
      <c r="H53" s="18" t="str">
        <f t="shared" ref="H53:H55" si="39">+IF(ISNA(G53),"",G53)</f>
        <v/>
      </c>
      <c r="I53" s="23"/>
      <c r="J53" s="24"/>
      <c r="K53" s="24"/>
      <c r="L53" s="25" t="str">
        <f t="shared" si="26"/>
        <v/>
      </c>
      <c r="M53" s="25">
        <f t="shared" si="31"/>
        <v>0</v>
      </c>
      <c r="N53" s="22"/>
      <c r="O53" s="18" t="str">
        <f t="shared" ref="O53:O55" si="40">IF($N53="J5",5*52,IF($N53="J6",6*52,IF($N53="J7",6*52+1*52,IF(N53="Hebdo",1*52,IF(N53="Bi-Hebdo",2*52,IF(N53="M",12,IF(N53="Bi-M",2*12,IF(N53="Trim",4,IF(N53="Sem",2,IF(N53="An",1,IF(N53="","")))))))))))</f>
        <v/>
      </c>
      <c r="P53" s="26" t="str">
        <f t="shared" si="27"/>
        <v>Néant</v>
      </c>
      <c r="Q53" s="27"/>
      <c r="R53" s="28"/>
      <c r="S53" s="18" t="str">
        <f t="shared" si="30"/>
        <v/>
      </c>
      <c r="T53" s="22"/>
      <c r="U53" s="18" t="str">
        <f t="shared" si="28"/>
        <v>renseigner CP</v>
      </c>
      <c r="V53" s="18" t="str">
        <f t="shared" si="32"/>
        <v/>
      </c>
      <c r="W53" s="32" t="str">
        <f t="shared" si="29"/>
        <v>renseigner CP</v>
      </c>
    </row>
    <row r="54" spans="1:23" ht="11.25" customHeight="1" x14ac:dyDescent="0.2">
      <c r="A54" s="31" t="s">
        <v>52</v>
      </c>
      <c r="B54" s="22"/>
      <c r="C54" s="22"/>
      <c r="D54" s="22"/>
      <c r="E54" s="18" t="e">
        <f>+VLOOKUP(D54,Cadencier!$B$6:$D$42,2,0)</f>
        <v>#N/A</v>
      </c>
      <c r="F54" s="18" t="str">
        <f t="shared" si="25"/>
        <v/>
      </c>
      <c r="G54" s="18" t="e">
        <f>+VLOOKUP(D54,Cadencier!$B$6:$D$42,3,0)</f>
        <v>#N/A</v>
      </c>
      <c r="H54" s="18" t="str">
        <f t="shared" si="39"/>
        <v/>
      </c>
      <c r="I54" s="23"/>
      <c r="J54" s="24"/>
      <c r="K54" s="24"/>
      <c r="L54" s="25" t="str">
        <f t="shared" si="26"/>
        <v/>
      </c>
      <c r="M54" s="25">
        <f t="shared" si="31"/>
        <v>0</v>
      </c>
      <c r="N54" s="22"/>
      <c r="O54" s="18" t="str">
        <f t="shared" si="40"/>
        <v/>
      </c>
      <c r="P54" s="26" t="str">
        <f t="shared" si="27"/>
        <v>Néant</v>
      </c>
      <c r="Q54" s="27"/>
      <c r="R54" s="28"/>
      <c r="S54" s="18" t="str">
        <f t="shared" si="30"/>
        <v/>
      </c>
      <c r="T54" s="22"/>
      <c r="U54" s="18" t="str">
        <f t="shared" si="28"/>
        <v>renseigner CP</v>
      </c>
      <c r="V54" s="18" t="str">
        <f t="shared" si="32"/>
        <v/>
      </c>
      <c r="W54" s="32" t="str">
        <f t="shared" si="29"/>
        <v>renseigner CP</v>
      </c>
    </row>
    <row r="55" spans="1:23" ht="11.25" customHeight="1" x14ac:dyDescent="0.2">
      <c r="A55" s="31" t="s">
        <v>52</v>
      </c>
      <c r="B55" s="22"/>
      <c r="C55" s="22"/>
      <c r="D55" s="22"/>
      <c r="E55" s="18" t="e">
        <f>+VLOOKUP(D55,Cadencier!$B$6:$D$42,2,0)</f>
        <v>#N/A</v>
      </c>
      <c r="F55" s="18" t="str">
        <f t="shared" si="25"/>
        <v/>
      </c>
      <c r="G55" s="18" t="e">
        <f>+VLOOKUP(D55,Cadencier!$B$6:$D$42,3,0)</f>
        <v>#N/A</v>
      </c>
      <c r="H55" s="18" t="str">
        <f t="shared" si="39"/>
        <v/>
      </c>
      <c r="I55" s="23"/>
      <c r="J55" s="24"/>
      <c r="K55" s="24"/>
      <c r="L55" s="25" t="str">
        <f t="shared" si="26"/>
        <v/>
      </c>
      <c r="M55" s="25">
        <f t="shared" si="31"/>
        <v>0</v>
      </c>
      <c r="N55" s="22"/>
      <c r="O55" s="18" t="str">
        <f t="shared" si="40"/>
        <v/>
      </c>
      <c r="P55" s="26" t="str">
        <f t="shared" si="27"/>
        <v>Néant</v>
      </c>
      <c r="Q55" s="27"/>
      <c r="R55" s="28"/>
      <c r="S55" s="18" t="str">
        <f t="shared" si="30"/>
        <v/>
      </c>
      <c r="T55" s="22"/>
      <c r="U55" s="18" t="str">
        <f t="shared" si="28"/>
        <v>renseigner CP</v>
      </c>
      <c r="V55" s="18" t="str">
        <f t="shared" si="32"/>
        <v/>
      </c>
      <c r="W55" s="32" t="str">
        <f t="shared" si="29"/>
        <v>renseigner CP</v>
      </c>
    </row>
    <row r="56" spans="1:23" ht="11.25" customHeight="1" x14ac:dyDescent="0.2">
      <c r="A56" s="31" t="s">
        <v>52</v>
      </c>
      <c r="B56" s="22"/>
      <c r="C56" s="22"/>
      <c r="D56" s="22"/>
      <c r="E56" s="18" t="e">
        <f>+VLOOKUP(D56,Cadencier!$B$6:$D$42,2,0)</f>
        <v>#N/A</v>
      </c>
      <c r="F56" s="18" t="str">
        <f t="shared" si="25"/>
        <v/>
      </c>
      <c r="G56" s="18" t="e">
        <f>+VLOOKUP(D56,Cadencier!$B$6:$D$42,3,0)</f>
        <v>#N/A</v>
      </c>
      <c r="H56" s="18" t="str">
        <f t="shared" ref="H56:H78" si="41">+IF(ISNA(G56),"",G56)</f>
        <v/>
      </c>
      <c r="I56" s="23"/>
      <c r="J56" s="24"/>
      <c r="K56" s="24"/>
      <c r="L56" s="25" t="str">
        <f t="shared" si="26"/>
        <v/>
      </c>
      <c r="M56" s="25">
        <f t="shared" si="31"/>
        <v>0</v>
      </c>
      <c r="N56" s="22"/>
      <c r="O56" s="18" t="str">
        <f t="shared" ref="O56:O78" si="42">IF($N56="J5",5*52,IF($N56="J6",6*52,IF($N56="J7",6*52+1*52,IF(N56="Hebdo",1*52,IF(N56="Bi-Hebdo",2*52,IF(N56="M",12,IF(N56="Bi-M",2*12,IF(N56="Trim",4,IF(N56="Sem",2,IF(N56="An",1,IF(N56="","")))))))))))</f>
        <v/>
      </c>
      <c r="P56" s="26" t="str">
        <f t="shared" si="27"/>
        <v>Néant</v>
      </c>
      <c r="Q56" s="27"/>
      <c r="R56" s="28"/>
      <c r="S56" s="18" t="str">
        <f t="shared" si="30"/>
        <v/>
      </c>
      <c r="T56" s="22"/>
      <c r="U56" s="18" t="str">
        <f t="shared" si="28"/>
        <v>renseigner CP</v>
      </c>
      <c r="V56" s="18" t="str">
        <f t="shared" si="32"/>
        <v/>
      </c>
      <c r="W56" s="32" t="str">
        <f t="shared" si="29"/>
        <v>renseigner CP</v>
      </c>
    </row>
    <row r="57" spans="1:23" ht="11.25" customHeight="1" x14ac:dyDescent="0.2">
      <c r="A57" s="31" t="s">
        <v>52</v>
      </c>
      <c r="B57" s="22"/>
      <c r="C57" s="22"/>
      <c r="D57" s="22"/>
      <c r="E57" s="18" t="e">
        <f>+VLOOKUP(D57,Cadencier!$B$6:$D$42,2,0)</f>
        <v>#N/A</v>
      </c>
      <c r="F57" s="18" t="str">
        <f t="shared" si="25"/>
        <v/>
      </c>
      <c r="G57" s="18" t="e">
        <f>+VLOOKUP(D57,Cadencier!$B$6:$D$42,3,0)</f>
        <v>#N/A</v>
      </c>
      <c r="H57" s="18" t="str">
        <f t="shared" si="41"/>
        <v/>
      </c>
      <c r="I57" s="23"/>
      <c r="J57" s="24"/>
      <c r="K57" s="24"/>
      <c r="L57" s="25" t="str">
        <f t="shared" si="26"/>
        <v/>
      </c>
      <c r="M57" s="25">
        <f t="shared" si="31"/>
        <v>0</v>
      </c>
      <c r="N57" s="22"/>
      <c r="O57" s="18" t="str">
        <f t="shared" si="42"/>
        <v/>
      </c>
      <c r="P57" s="26" t="str">
        <f t="shared" si="27"/>
        <v>Néant</v>
      </c>
      <c r="Q57" s="27"/>
      <c r="R57" s="28"/>
      <c r="S57" s="18" t="str">
        <f t="shared" si="30"/>
        <v/>
      </c>
      <c r="T57" s="22"/>
      <c r="U57" s="18" t="str">
        <f t="shared" si="28"/>
        <v>renseigner CP</v>
      </c>
      <c r="V57" s="18" t="str">
        <f t="shared" si="32"/>
        <v/>
      </c>
      <c r="W57" s="32" t="str">
        <f t="shared" si="29"/>
        <v>renseigner CP</v>
      </c>
    </row>
    <row r="58" spans="1:23" ht="11.25" customHeight="1" x14ac:dyDescent="0.2">
      <c r="A58" s="31" t="s">
        <v>52</v>
      </c>
      <c r="B58" s="22"/>
      <c r="C58" s="22"/>
      <c r="D58" s="22"/>
      <c r="E58" s="18" t="e">
        <f>+VLOOKUP(D58,Cadencier!$B$6:$D$42,2,0)</f>
        <v>#N/A</v>
      </c>
      <c r="F58" s="18" t="str">
        <f t="shared" si="25"/>
        <v/>
      </c>
      <c r="G58" s="18" t="e">
        <f>+VLOOKUP(D58,Cadencier!$B$6:$D$42,3,0)</f>
        <v>#N/A</v>
      </c>
      <c r="H58" s="18" t="str">
        <f t="shared" si="41"/>
        <v/>
      </c>
      <c r="I58" s="23"/>
      <c r="J58" s="24"/>
      <c r="K58" s="24"/>
      <c r="L58" s="25" t="str">
        <f t="shared" si="26"/>
        <v/>
      </c>
      <c r="M58" s="25">
        <f t="shared" si="31"/>
        <v>0</v>
      </c>
      <c r="N58" s="22"/>
      <c r="O58" s="18" t="str">
        <f t="shared" si="42"/>
        <v/>
      </c>
      <c r="P58" s="26" t="str">
        <f t="shared" si="27"/>
        <v>Néant</v>
      </c>
      <c r="Q58" s="27"/>
      <c r="R58" s="28"/>
      <c r="S58" s="18" t="str">
        <f t="shared" si="30"/>
        <v/>
      </c>
      <c r="T58" s="22"/>
      <c r="U58" s="18" t="str">
        <f t="shared" si="28"/>
        <v>renseigner CP</v>
      </c>
      <c r="V58" s="18" t="str">
        <f t="shared" si="32"/>
        <v/>
      </c>
      <c r="W58" s="32" t="str">
        <f t="shared" si="29"/>
        <v>renseigner CP</v>
      </c>
    </row>
    <row r="59" spans="1:23" ht="11.25" customHeight="1" x14ac:dyDescent="0.2">
      <c r="A59" s="31" t="s">
        <v>52</v>
      </c>
      <c r="B59" s="22"/>
      <c r="C59" s="22"/>
      <c r="D59" s="22"/>
      <c r="E59" s="18" t="e">
        <f>+VLOOKUP(D59,Cadencier!$B$6:$D$42,2,0)</f>
        <v>#N/A</v>
      </c>
      <c r="F59" s="18" t="str">
        <f t="shared" si="25"/>
        <v/>
      </c>
      <c r="G59" s="18" t="e">
        <f>+VLOOKUP(D59,Cadencier!$B$6:$D$42,3,0)</f>
        <v>#N/A</v>
      </c>
      <c r="H59" s="18" t="str">
        <f t="shared" si="41"/>
        <v/>
      </c>
      <c r="I59" s="23"/>
      <c r="J59" s="24"/>
      <c r="K59" s="24"/>
      <c r="L59" s="25" t="str">
        <f t="shared" si="26"/>
        <v/>
      </c>
      <c r="M59" s="25">
        <f t="shared" si="31"/>
        <v>0</v>
      </c>
      <c r="N59" s="22"/>
      <c r="O59" s="18" t="str">
        <f t="shared" si="42"/>
        <v/>
      </c>
      <c r="P59" s="26" t="str">
        <f t="shared" si="27"/>
        <v>Néant</v>
      </c>
      <c r="Q59" s="27"/>
      <c r="R59" s="28"/>
      <c r="S59" s="18" t="str">
        <f t="shared" si="30"/>
        <v/>
      </c>
      <c r="T59" s="22"/>
      <c r="U59" s="18" t="str">
        <f t="shared" si="28"/>
        <v>renseigner CP</v>
      </c>
      <c r="V59" s="18" t="str">
        <f t="shared" si="32"/>
        <v/>
      </c>
      <c r="W59" s="32" t="str">
        <f t="shared" si="29"/>
        <v>renseigner CP</v>
      </c>
    </row>
    <row r="60" spans="1:23" ht="11.25" customHeight="1" x14ac:dyDescent="0.2">
      <c r="A60" s="31" t="s">
        <v>52</v>
      </c>
      <c r="B60" s="22"/>
      <c r="C60" s="22"/>
      <c r="D60" s="22"/>
      <c r="E60" s="18" t="e">
        <f>+VLOOKUP(D60,Cadencier!$B$6:$D$42,2,0)</f>
        <v>#N/A</v>
      </c>
      <c r="F60" s="18" t="str">
        <f t="shared" ref="F60:F66" si="43">+IF(ISNA(E60),"",E60)</f>
        <v/>
      </c>
      <c r="G60" s="18" t="e">
        <f>+VLOOKUP(D60,Cadencier!$B$6:$D$42,3,0)</f>
        <v>#N/A</v>
      </c>
      <c r="H60" s="18" t="str">
        <f t="shared" si="41"/>
        <v/>
      </c>
      <c r="I60" s="23"/>
      <c r="J60" s="24"/>
      <c r="K60" s="24"/>
      <c r="L60" s="25" t="str">
        <f t="shared" ref="L60:L66" si="44">IF(I60="","",IF(I60="Fort",K60/F60,IF(I60="Faible",K60/H60)))</f>
        <v/>
      </c>
      <c r="M60" s="25">
        <f t="shared" ref="M60:M66" si="45">IF(J60&lt;=0,0,K60/J60)</f>
        <v>0</v>
      </c>
      <c r="N60" s="22"/>
      <c r="O60" s="18" t="str">
        <f t="shared" si="42"/>
        <v/>
      </c>
      <c r="P60" s="26" t="str">
        <f t="shared" ref="P60:P66" si="46">IF(N60="J7",25%,"Néant")</f>
        <v>Néant</v>
      </c>
      <c r="Q60" s="27"/>
      <c r="R60" s="28"/>
      <c r="S60" s="18" t="str">
        <f t="shared" ref="S60:S66" si="47">IF($N60="J5",(L60+$R60)*5*52,IF($N60="J6",(L60+$R60)*6*52,IF($N60="J7",(L60+$R60)*6*52+(L60+$R60)*1*(100%+$P60)*52,IF(N60="Hebdo",(L60+$R60)*1*52,IF(N60="Bi-Hebdo",(L60+$R60)*2*52,IF(N60="M",(L60+$R60)*12,IF(N60="Bi-M",(L60+$R60)*2*12,IF(N60="Trim",(L60+$R60)*4,IF(N60="Sem",(L60+$R60)*2,IF(N60="An",(L60+$R60)*1,IF(N60="","")))))))))))</f>
        <v/>
      </c>
      <c r="T60" s="22"/>
      <c r="U60" s="18" t="str">
        <f t="shared" ref="U60:U66" si="48">IF(T60="O",S60*10%+S60,IF(T60="N",S60,IF(T60="","renseigner CP")))</f>
        <v>renseigner CP</v>
      </c>
      <c r="V60" s="18" t="str">
        <f t="shared" si="32"/>
        <v/>
      </c>
      <c r="W60" s="32" t="str">
        <f t="shared" ref="W60:W66" si="49">IF(T60="O",V60*10%+V60,IF(T60="N",V60,IF(T60="","renseigner CP")))</f>
        <v>renseigner CP</v>
      </c>
    </row>
    <row r="61" spans="1:23" ht="11.25" customHeight="1" x14ac:dyDescent="0.2">
      <c r="A61" s="31" t="s">
        <v>52</v>
      </c>
      <c r="B61" s="22"/>
      <c r="C61" s="22"/>
      <c r="D61" s="22"/>
      <c r="E61" s="18" t="e">
        <f>+VLOOKUP(D61,Cadencier!$B$6:$D$42,2,0)</f>
        <v>#N/A</v>
      </c>
      <c r="F61" s="18" t="str">
        <f t="shared" si="43"/>
        <v/>
      </c>
      <c r="G61" s="18" t="e">
        <f>+VLOOKUP(D61,Cadencier!$B$6:$D$42,3,0)</f>
        <v>#N/A</v>
      </c>
      <c r="H61" s="18" t="str">
        <f t="shared" si="41"/>
        <v/>
      </c>
      <c r="I61" s="23"/>
      <c r="J61" s="24"/>
      <c r="K61" s="24"/>
      <c r="L61" s="25" t="str">
        <f t="shared" si="44"/>
        <v/>
      </c>
      <c r="M61" s="25">
        <f t="shared" si="45"/>
        <v>0</v>
      </c>
      <c r="N61" s="22"/>
      <c r="O61" s="18" t="str">
        <f t="shared" si="42"/>
        <v/>
      </c>
      <c r="P61" s="26" t="str">
        <f t="shared" si="46"/>
        <v>Néant</v>
      </c>
      <c r="Q61" s="27"/>
      <c r="R61" s="28"/>
      <c r="S61" s="18" t="str">
        <f t="shared" si="47"/>
        <v/>
      </c>
      <c r="T61" s="22"/>
      <c r="U61" s="18" t="str">
        <f t="shared" si="48"/>
        <v>renseigner CP</v>
      </c>
      <c r="V61" s="18" t="str">
        <f t="shared" si="32"/>
        <v/>
      </c>
      <c r="W61" s="32" t="str">
        <f t="shared" si="49"/>
        <v>renseigner CP</v>
      </c>
    </row>
    <row r="62" spans="1:23" ht="11.25" customHeight="1" x14ac:dyDescent="0.2">
      <c r="A62" s="31" t="s">
        <v>52</v>
      </c>
      <c r="B62" s="22"/>
      <c r="C62" s="22"/>
      <c r="D62" s="22"/>
      <c r="E62" s="18" t="e">
        <f>+VLOOKUP(D62,Cadencier!$B$6:$D$42,2,0)</f>
        <v>#N/A</v>
      </c>
      <c r="F62" s="18" t="str">
        <f t="shared" si="43"/>
        <v/>
      </c>
      <c r="G62" s="18" t="e">
        <f>+VLOOKUP(D62,Cadencier!$B$6:$D$42,3,0)</f>
        <v>#N/A</v>
      </c>
      <c r="H62" s="18" t="str">
        <f t="shared" si="41"/>
        <v/>
      </c>
      <c r="I62" s="23"/>
      <c r="J62" s="24"/>
      <c r="K62" s="24"/>
      <c r="L62" s="25" t="str">
        <f t="shared" si="44"/>
        <v/>
      </c>
      <c r="M62" s="25">
        <f t="shared" si="45"/>
        <v>0</v>
      </c>
      <c r="N62" s="22"/>
      <c r="O62" s="18" t="str">
        <f t="shared" si="42"/>
        <v/>
      </c>
      <c r="P62" s="26" t="str">
        <f t="shared" si="46"/>
        <v>Néant</v>
      </c>
      <c r="Q62" s="27"/>
      <c r="R62" s="28"/>
      <c r="S62" s="18" t="str">
        <f t="shared" si="47"/>
        <v/>
      </c>
      <c r="T62" s="22"/>
      <c r="U62" s="18" t="str">
        <f t="shared" si="48"/>
        <v>renseigner CP</v>
      </c>
      <c r="V62" s="18" t="str">
        <f t="shared" si="32"/>
        <v/>
      </c>
      <c r="W62" s="32" t="str">
        <f t="shared" si="49"/>
        <v>renseigner CP</v>
      </c>
    </row>
    <row r="63" spans="1:23" ht="11.25" customHeight="1" x14ac:dyDescent="0.2">
      <c r="A63" s="31" t="s">
        <v>52</v>
      </c>
      <c r="B63" s="22"/>
      <c r="C63" s="22"/>
      <c r="D63" s="22"/>
      <c r="E63" s="18" t="e">
        <f>+VLOOKUP(D63,Cadencier!$B$6:$D$42,2,0)</f>
        <v>#N/A</v>
      </c>
      <c r="F63" s="18" t="str">
        <f t="shared" si="43"/>
        <v/>
      </c>
      <c r="G63" s="18" t="e">
        <f>+VLOOKUP(D63,Cadencier!$B$6:$D$42,3,0)</f>
        <v>#N/A</v>
      </c>
      <c r="H63" s="18" t="str">
        <f t="shared" si="41"/>
        <v/>
      </c>
      <c r="I63" s="23"/>
      <c r="J63" s="24"/>
      <c r="K63" s="24"/>
      <c r="L63" s="25" t="str">
        <f t="shared" si="44"/>
        <v/>
      </c>
      <c r="M63" s="25">
        <f t="shared" si="45"/>
        <v>0</v>
      </c>
      <c r="N63" s="22"/>
      <c r="O63" s="18" t="str">
        <f t="shared" si="42"/>
        <v/>
      </c>
      <c r="P63" s="26" t="str">
        <f t="shared" si="46"/>
        <v>Néant</v>
      </c>
      <c r="Q63" s="27"/>
      <c r="R63" s="28"/>
      <c r="S63" s="18" t="str">
        <f t="shared" si="47"/>
        <v/>
      </c>
      <c r="T63" s="22"/>
      <c r="U63" s="18" t="str">
        <f t="shared" si="48"/>
        <v>renseigner CP</v>
      </c>
      <c r="V63" s="18" t="str">
        <f t="shared" si="32"/>
        <v/>
      </c>
      <c r="W63" s="32" t="str">
        <f t="shared" si="49"/>
        <v>renseigner CP</v>
      </c>
    </row>
    <row r="64" spans="1:23" ht="11.25" customHeight="1" x14ac:dyDescent="0.2">
      <c r="A64" s="31" t="s">
        <v>52</v>
      </c>
      <c r="B64" s="22"/>
      <c r="C64" s="22"/>
      <c r="D64" s="22"/>
      <c r="E64" s="18" t="e">
        <f>+VLOOKUP(D64,Cadencier!$B$6:$D$42,2,0)</f>
        <v>#N/A</v>
      </c>
      <c r="F64" s="18" t="str">
        <f t="shared" si="43"/>
        <v/>
      </c>
      <c r="G64" s="18" t="e">
        <f>+VLOOKUP(D64,Cadencier!$B$6:$D$42,3,0)</f>
        <v>#N/A</v>
      </c>
      <c r="H64" s="18" t="str">
        <f t="shared" si="41"/>
        <v/>
      </c>
      <c r="I64" s="23"/>
      <c r="J64" s="24"/>
      <c r="K64" s="24"/>
      <c r="L64" s="25" t="str">
        <f t="shared" si="44"/>
        <v/>
      </c>
      <c r="M64" s="25">
        <f t="shared" si="45"/>
        <v>0</v>
      </c>
      <c r="N64" s="22"/>
      <c r="O64" s="18" t="str">
        <f t="shared" si="42"/>
        <v/>
      </c>
      <c r="P64" s="26" t="str">
        <f t="shared" si="46"/>
        <v>Néant</v>
      </c>
      <c r="Q64" s="27"/>
      <c r="R64" s="28"/>
      <c r="S64" s="18" t="str">
        <f t="shared" si="47"/>
        <v/>
      </c>
      <c r="T64" s="22"/>
      <c r="U64" s="18" t="str">
        <f t="shared" si="48"/>
        <v>renseigner CP</v>
      </c>
      <c r="V64" s="18" t="str">
        <f t="shared" si="32"/>
        <v/>
      </c>
      <c r="W64" s="32" t="str">
        <f t="shared" si="49"/>
        <v>renseigner CP</v>
      </c>
    </row>
    <row r="65" spans="1:23" ht="11.25" customHeight="1" x14ac:dyDescent="0.2">
      <c r="A65" s="31" t="s">
        <v>52</v>
      </c>
      <c r="B65" s="22"/>
      <c r="C65" s="22"/>
      <c r="D65" s="22"/>
      <c r="E65" s="18" t="e">
        <f>+VLOOKUP(D65,Cadencier!$B$6:$D$42,2,0)</f>
        <v>#N/A</v>
      </c>
      <c r="F65" s="18" t="str">
        <f t="shared" si="43"/>
        <v/>
      </c>
      <c r="G65" s="18" t="e">
        <f>+VLOOKUP(D65,Cadencier!$B$6:$D$42,3,0)</f>
        <v>#N/A</v>
      </c>
      <c r="H65" s="18" t="str">
        <f t="shared" si="41"/>
        <v/>
      </c>
      <c r="I65" s="23"/>
      <c r="J65" s="24"/>
      <c r="K65" s="24"/>
      <c r="L65" s="25" t="str">
        <f t="shared" si="44"/>
        <v/>
      </c>
      <c r="M65" s="25">
        <f t="shared" si="45"/>
        <v>0</v>
      </c>
      <c r="N65" s="22"/>
      <c r="O65" s="18" t="str">
        <f t="shared" si="42"/>
        <v/>
      </c>
      <c r="P65" s="26" t="str">
        <f t="shared" si="46"/>
        <v>Néant</v>
      </c>
      <c r="Q65" s="27"/>
      <c r="R65" s="28"/>
      <c r="S65" s="18" t="str">
        <f t="shared" si="47"/>
        <v/>
      </c>
      <c r="T65" s="22"/>
      <c r="U65" s="18" t="str">
        <f t="shared" si="48"/>
        <v>renseigner CP</v>
      </c>
      <c r="V65" s="18" t="str">
        <f t="shared" si="32"/>
        <v/>
      </c>
      <c r="W65" s="32" t="str">
        <f t="shared" si="49"/>
        <v>renseigner CP</v>
      </c>
    </row>
    <row r="66" spans="1:23" ht="11.25" customHeight="1" x14ac:dyDescent="0.2">
      <c r="A66" s="31" t="s">
        <v>52</v>
      </c>
      <c r="B66" s="22"/>
      <c r="C66" s="22"/>
      <c r="D66" s="22"/>
      <c r="E66" s="18" t="e">
        <f>+VLOOKUP(D66,Cadencier!$B$6:$D$42,2,0)</f>
        <v>#N/A</v>
      </c>
      <c r="F66" s="18" t="str">
        <f t="shared" si="43"/>
        <v/>
      </c>
      <c r="G66" s="18" t="e">
        <f>+VLOOKUP(D66,Cadencier!$B$6:$D$42,3,0)</f>
        <v>#N/A</v>
      </c>
      <c r="H66" s="18" t="str">
        <f t="shared" si="41"/>
        <v/>
      </c>
      <c r="I66" s="23"/>
      <c r="J66" s="24"/>
      <c r="K66" s="24"/>
      <c r="L66" s="25" t="str">
        <f t="shared" si="44"/>
        <v/>
      </c>
      <c r="M66" s="25">
        <f t="shared" si="45"/>
        <v>0</v>
      </c>
      <c r="N66" s="22"/>
      <c r="O66" s="18" t="str">
        <f t="shared" si="42"/>
        <v/>
      </c>
      <c r="P66" s="26" t="str">
        <f t="shared" si="46"/>
        <v>Néant</v>
      </c>
      <c r="Q66" s="27"/>
      <c r="R66" s="28"/>
      <c r="S66" s="18" t="str">
        <f t="shared" si="47"/>
        <v/>
      </c>
      <c r="T66" s="22"/>
      <c r="U66" s="18" t="str">
        <f t="shared" si="48"/>
        <v>renseigner CP</v>
      </c>
      <c r="V66" s="18" t="str">
        <f t="shared" si="32"/>
        <v/>
      </c>
      <c r="W66" s="32" t="str">
        <f t="shared" si="49"/>
        <v>renseigner CP</v>
      </c>
    </row>
    <row r="67" spans="1:23" ht="11.25" customHeight="1" x14ac:dyDescent="0.2">
      <c r="A67" s="31" t="s">
        <v>52</v>
      </c>
      <c r="B67" s="22"/>
      <c r="C67" s="22"/>
      <c r="D67" s="22"/>
      <c r="E67" s="18" t="e">
        <f>+VLOOKUP(D67,Cadencier!$B$6:$D$42,2,0)</f>
        <v>#N/A</v>
      </c>
      <c r="F67" s="18" t="str">
        <f t="shared" ref="F67:F73" si="50">+IF(ISNA(E67),"",E67)</f>
        <v/>
      </c>
      <c r="G67" s="18" t="e">
        <f>+VLOOKUP(D67,Cadencier!$B$6:$D$42,3,0)</f>
        <v>#N/A</v>
      </c>
      <c r="H67" s="18" t="str">
        <f t="shared" si="41"/>
        <v/>
      </c>
      <c r="I67" s="23"/>
      <c r="J67" s="24"/>
      <c r="K67" s="24"/>
      <c r="L67" s="25" t="str">
        <f t="shared" ref="L67:L73" si="51">IF(I67="","",IF(I67="Fort",K67/F67,IF(I67="Faible",K67/H67)))</f>
        <v/>
      </c>
      <c r="M67" s="25">
        <f t="shared" ref="M67:M73" si="52">IF(J67&lt;=0,0,K67/J67)</f>
        <v>0</v>
      </c>
      <c r="N67" s="22"/>
      <c r="O67" s="18" t="str">
        <f t="shared" si="42"/>
        <v/>
      </c>
      <c r="P67" s="26" t="str">
        <f t="shared" ref="P67:P73" si="53">IF(N67="J7",25%,"Néant")</f>
        <v>Néant</v>
      </c>
      <c r="Q67" s="27"/>
      <c r="R67" s="28"/>
      <c r="S67" s="18" t="str">
        <f t="shared" ref="S67:S73" si="54">IF($N67="J5",(L67+$R67)*5*52,IF($N67="J6",(L67+$R67)*6*52,IF($N67="J7",(L67+$R67)*6*52+(L67+$R67)*1*(100%+$P67)*52,IF(N67="Hebdo",(L67+$R67)*1*52,IF(N67="Bi-Hebdo",(L67+$R67)*2*52,IF(N67="M",(L67+$R67)*12,IF(N67="Bi-M",(L67+$R67)*2*12,IF(N67="Trim",(L67+$R67)*4,IF(N67="Sem",(L67+$R67)*2,IF(N67="An",(L67+$R67)*1,IF(N67="","")))))))))))</f>
        <v/>
      </c>
      <c r="T67" s="22"/>
      <c r="U67" s="18" t="str">
        <f t="shared" ref="U67:U73" si="55">IF(T67="O",S67*10%+S67,IF(T67="N",S67,IF(T67="","renseigner CP")))</f>
        <v>renseigner CP</v>
      </c>
      <c r="V67" s="18" t="str">
        <f t="shared" si="32"/>
        <v/>
      </c>
      <c r="W67" s="32" t="str">
        <f t="shared" ref="W67:W73" si="56">IF(T67="O",V67*10%+V67,IF(T67="N",V67,IF(T67="","renseigner CP")))</f>
        <v>renseigner CP</v>
      </c>
    </row>
    <row r="68" spans="1:23" ht="11.25" customHeight="1" x14ac:dyDescent="0.2">
      <c r="A68" s="31" t="s">
        <v>52</v>
      </c>
      <c r="B68" s="22"/>
      <c r="C68" s="22"/>
      <c r="D68" s="22"/>
      <c r="E68" s="18" t="e">
        <f>+VLOOKUP(D68,Cadencier!$B$6:$D$42,2,0)</f>
        <v>#N/A</v>
      </c>
      <c r="F68" s="18" t="str">
        <f t="shared" si="50"/>
        <v/>
      </c>
      <c r="G68" s="18" t="e">
        <f>+VLOOKUP(D68,Cadencier!$B$6:$D$42,3,0)</f>
        <v>#N/A</v>
      </c>
      <c r="H68" s="18" t="str">
        <f t="shared" si="41"/>
        <v/>
      </c>
      <c r="I68" s="23"/>
      <c r="J68" s="24"/>
      <c r="K68" s="24"/>
      <c r="L68" s="25" t="str">
        <f t="shared" si="51"/>
        <v/>
      </c>
      <c r="M68" s="25">
        <f t="shared" si="52"/>
        <v>0</v>
      </c>
      <c r="N68" s="22"/>
      <c r="O68" s="18" t="str">
        <f t="shared" si="42"/>
        <v/>
      </c>
      <c r="P68" s="26" t="str">
        <f t="shared" si="53"/>
        <v>Néant</v>
      </c>
      <c r="Q68" s="27"/>
      <c r="R68" s="28"/>
      <c r="S68" s="18" t="str">
        <f t="shared" si="54"/>
        <v/>
      </c>
      <c r="T68" s="22"/>
      <c r="U68" s="18" t="str">
        <f t="shared" si="55"/>
        <v>renseigner CP</v>
      </c>
      <c r="V68" s="18" t="str">
        <f t="shared" si="32"/>
        <v/>
      </c>
      <c r="W68" s="32" t="str">
        <f t="shared" si="56"/>
        <v>renseigner CP</v>
      </c>
    </row>
    <row r="69" spans="1:23" ht="11.25" customHeight="1" x14ac:dyDescent="0.2">
      <c r="A69" s="31" t="s">
        <v>52</v>
      </c>
      <c r="B69" s="22"/>
      <c r="C69" s="22"/>
      <c r="D69" s="22"/>
      <c r="E69" s="18" t="e">
        <f>+VLOOKUP(D69,Cadencier!$B$6:$D$42,2,0)</f>
        <v>#N/A</v>
      </c>
      <c r="F69" s="18" t="str">
        <f t="shared" si="50"/>
        <v/>
      </c>
      <c r="G69" s="18" t="e">
        <f>+VLOOKUP(D69,Cadencier!$B$6:$D$42,3,0)</f>
        <v>#N/A</v>
      </c>
      <c r="H69" s="18" t="str">
        <f t="shared" si="41"/>
        <v/>
      </c>
      <c r="I69" s="23"/>
      <c r="J69" s="24"/>
      <c r="K69" s="24"/>
      <c r="L69" s="25" t="str">
        <f t="shared" si="51"/>
        <v/>
      </c>
      <c r="M69" s="25">
        <f t="shared" si="52"/>
        <v>0</v>
      </c>
      <c r="N69" s="22"/>
      <c r="O69" s="18" t="str">
        <f t="shared" si="42"/>
        <v/>
      </c>
      <c r="P69" s="26" t="str">
        <f t="shared" si="53"/>
        <v>Néant</v>
      </c>
      <c r="Q69" s="27"/>
      <c r="R69" s="28"/>
      <c r="S69" s="18" t="str">
        <f t="shared" si="54"/>
        <v/>
      </c>
      <c r="T69" s="22"/>
      <c r="U69" s="18" t="str">
        <f t="shared" si="55"/>
        <v>renseigner CP</v>
      </c>
      <c r="V69" s="18" t="str">
        <f t="shared" si="32"/>
        <v/>
      </c>
      <c r="W69" s="32" t="str">
        <f t="shared" si="56"/>
        <v>renseigner CP</v>
      </c>
    </row>
    <row r="70" spans="1:23" ht="11.25" customHeight="1" x14ac:dyDescent="0.2">
      <c r="A70" s="31" t="s">
        <v>52</v>
      </c>
      <c r="B70" s="22"/>
      <c r="C70" s="22"/>
      <c r="D70" s="22"/>
      <c r="E70" s="18" t="e">
        <f>+VLOOKUP(D70,Cadencier!$B$6:$D$42,2,0)</f>
        <v>#N/A</v>
      </c>
      <c r="F70" s="18" t="str">
        <f t="shared" si="50"/>
        <v/>
      </c>
      <c r="G70" s="18" t="e">
        <f>+VLOOKUP(D70,Cadencier!$B$6:$D$42,3,0)</f>
        <v>#N/A</v>
      </c>
      <c r="H70" s="18" t="str">
        <f t="shared" si="41"/>
        <v/>
      </c>
      <c r="I70" s="23"/>
      <c r="J70" s="24"/>
      <c r="K70" s="24"/>
      <c r="L70" s="25" t="str">
        <f t="shared" si="51"/>
        <v/>
      </c>
      <c r="M70" s="25">
        <f t="shared" si="52"/>
        <v>0</v>
      </c>
      <c r="N70" s="22"/>
      <c r="O70" s="18" t="str">
        <f t="shared" si="42"/>
        <v/>
      </c>
      <c r="P70" s="26" t="str">
        <f t="shared" si="53"/>
        <v>Néant</v>
      </c>
      <c r="Q70" s="27"/>
      <c r="R70" s="28"/>
      <c r="S70" s="18" t="str">
        <f t="shared" si="54"/>
        <v/>
      </c>
      <c r="T70" s="22"/>
      <c r="U70" s="18" t="str">
        <f t="shared" si="55"/>
        <v>renseigner CP</v>
      </c>
      <c r="V70" s="18" t="str">
        <f t="shared" si="32"/>
        <v/>
      </c>
      <c r="W70" s="32" t="str">
        <f t="shared" si="56"/>
        <v>renseigner CP</v>
      </c>
    </row>
    <row r="71" spans="1:23" ht="11.25" customHeight="1" x14ac:dyDescent="0.2">
      <c r="A71" s="31" t="s">
        <v>52</v>
      </c>
      <c r="B71" s="22"/>
      <c r="C71" s="22"/>
      <c r="D71" s="22"/>
      <c r="E71" s="18" t="e">
        <f>+VLOOKUP(D71,Cadencier!$B$6:$D$42,2,0)</f>
        <v>#N/A</v>
      </c>
      <c r="F71" s="18" t="str">
        <f t="shared" si="50"/>
        <v/>
      </c>
      <c r="G71" s="18" t="e">
        <f>+VLOOKUP(D71,Cadencier!$B$6:$D$42,3,0)</f>
        <v>#N/A</v>
      </c>
      <c r="H71" s="18" t="str">
        <f t="shared" si="41"/>
        <v/>
      </c>
      <c r="I71" s="23"/>
      <c r="J71" s="24"/>
      <c r="K71" s="24"/>
      <c r="L71" s="25" t="str">
        <f t="shared" si="51"/>
        <v/>
      </c>
      <c r="M71" s="25">
        <f t="shared" si="52"/>
        <v>0</v>
      </c>
      <c r="N71" s="22"/>
      <c r="O71" s="18" t="str">
        <f t="shared" si="42"/>
        <v/>
      </c>
      <c r="P71" s="26" t="str">
        <f t="shared" si="53"/>
        <v>Néant</v>
      </c>
      <c r="Q71" s="27"/>
      <c r="R71" s="28"/>
      <c r="S71" s="18" t="str">
        <f t="shared" si="54"/>
        <v/>
      </c>
      <c r="T71" s="22"/>
      <c r="U71" s="18" t="str">
        <f t="shared" si="55"/>
        <v>renseigner CP</v>
      </c>
      <c r="V71" s="18" t="str">
        <f t="shared" si="32"/>
        <v/>
      </c>
      <c r="W71" s="32" t="str">
        <f t="shared" si="56"/>
        <v>renseigner CP</v>
      </c>
    </row>
    <row r="72" spans="1:23" ht="11.25" customHeight="1" x14ac:dyDescent="0.2">
      <c r="A72" s="31" t="s">
        <v>52</v>
      </c>
      <c r="B72" s="22"/>
      <c r="C72" s="22"/>
      <c r="D72" s="22"/>
      <c r="E72" s="18" t="e">
        <f>+VLOOKUP(D72,Cadencier!$B$6:$D$42,2,0)</f>
        <v>#N/A</v>
      </c>
      <c r="F72" s="18" t="str">
        <f t="shared" si="50"/>
        <v/>
      </c>
      <c r="G72" s="18" t="e">
        <f>+VLOOKUP(D72,Cadencier!$B$6:$D$42,3,0)</f>
        <v>#N/A</v>
      </c>
      <c r="H72" s="18" t="str">
        <f t="shared" si="41"/>
        <v/>
      </c>
      <c r="I72" s="23"/>
      <c r="J72" s="24"/>
      <c r="K72" s="24"/>
      <c r="L72" s="25" t="str">
        <f t="shared" si="51"/>
        <v/>
      </c>
      <c r="M72" s="25">
        <f t="shared" si="52"/>
        <v>0</v>
      </c>
      <c r="N72" s="22"/>
      <c r="O72" s="18" t="str">
        <f t="shared" si="42"/>
        <v/>
      </c>
      <c r="P72" s="26" t="str">
        <f t="shared" si="53"/>
        <v>Néant</v>
      </c>
      <c r="Q72" s="27"/>
      <c r="R72" s="28"/>
      <c r="S72" s="18" t="str">
        <f t="shared" si="54"/>
        <v/>
      </c>
      <c r="T72" s="22"/>
      <c r="U72" s="18" t="str">
        <f t="shared" si="55"/>
        <v>renseigner CP</v>
      </c>
      <c r="V72" s="18" t="str">
        <f t="shared" si="32"/>
        <v/>
      </c>
      <c r="W72" s="32" t="str">
        <f t="shared" si="56"/>
        <v>renseigner CP</v>
      </c>
    </row>
    <row r="73" spans="1:23" ht="11.25" customHeight="1" x14ac:dyDescent="0.2">
      <c r="A73" s="31" t="s">
        <v>52</v>
      </c>
      <c r="B73" s="22"/>
      <c r="C73" s="22"/>
      <c r="D73" s="22"/>
      <c r="E73" s="18" t="e">
        <f>+VLOOKUP(D73,Cadencier!$B$6:$D$42,2,0)</f>
        <v>#N/A</v>
      </c>
      <c r="F73" s="18" t="str">
        <f t="shared" si="50"/>
        <v/>
      </c>
      <c r="G73" s="18" t="e">
        <f>+VLOOKUP(D73,Cadencier!$B$6:$D$42,3,0)</f>
        <v>#N/A</v>
      </c>
      <c r="H73" s="18" t="str">
        <f t="shared" si="41"/>
        <v/>
      </c>
      <c r="I73" s="23"/>
      <c r="J73" s="24"/>
      <c r="K73" s="24"/>
      <c r="L73" s="25" t="str">
        <f t="shared" si="51"/>
        <v/>
      </c>
      <c r="M73" s="25">
        <f t="shared" si="52"/>
        <v>0</v>
      </c>
      <c r="N73" s="22"/>
      <c r="O73" s="18" t="str">
        <f t="shared" si="42"/>
        <v/>
      </c>
      <c r="P73" s="26" t="str">
        <f t="shared" si="53"/>
        <v>Néant</v>
      </c>
      <c r="Q73" s="27"/>
      <c r="R73" s="28"/>
      <c r="S73" s="18" t="str">
        <f t="shared" si="54"/>
        <v/>
      </c>
      <c r="T73" s="22"/>
      <c r="U73" s="18" t="str">
        <f t="shared" si="55"/>
        <v>renseigner CP</v>
      </c>
      <c r="V73" s="18" t="str">
        <f t="shared" si="32"/>
        <v/>
      </c>
      <c r="W73" s="32" t="str">
        <f t="shared" si="56"/>
        <v>renseigner CP</v>
      </c>
    </row>
    <row r="74" spans="1:23" ht="11.25" customHeight="1" x14ac:dyDescent="0.2">
      <c r="A74" s="31" t="s">
        <v>52</v>
      </c>
      <c r="B74" s="22"/>
      <c r="C74" s="22"/>
      <c r="D74" s="22"/>
      <c r="E74" s="18" t="e">
        <f>+VLOOKUP(D74,Cadencier!$B$6:$D$42,2,0)</f>
        <v>#N/A</v>
      </c>
      <c r="F74" s="18" t="str">
        <f>+IF(ISNA(E74),"",E74)</f>
        <v/>
      </c>
      <c r="G74" s="18" t="e">
        <f>+VLOOKUP(D74,Cadencier!$B$6:$D$42,3,0)</f>
        <v>#N/A</v>
      </c>
      <c r="H74" s="18" t="str">
        <f t="shared" si="41"/>
        <v/>
      </c>
      <c r="I74" s="23"/>
      <c r="J74" s="24"/>
      <c r="K74" s="24"/>
      <c r="L74" s="25" t="str">
        <f>IF(I74="","",IF(I74="Fort",K74/F74,IF(I74="Faible",K74/H74)))</f>
        <v/>
      </c>
      <c r="M74" s="25">
        <f>IF(J74&lt;=0,0,K74/J74)</f>
        <v>0</v>
      </c>
      <c r="N74" s="22"/>
      <c r="O74" s="18" t="str">
        <f t="shared" si="42"/>
        <v/>
      </c>
      <c r="P74" s="26" t="str">
        <f>IF(N74="J7",25%,"Néant")</f>
        <v>Néant</v>
      </c>
      <c r="Q74" s="27"/>
      <c r="R74" s="28"/>
      <c r="S74" s="18" t="str">
        <f>IF($N74="J5",(L74+$R74)*5*52,IF($N74="J6",(L74+$R74)*6*52,IF($N74="J7",(L74+$R74)*6*52+(L74+$R74)*1*(100%+$P74)*52,IF(N74="Hebdo",(L74+$R74)*1*52,IF(N74="Bi-Hebdo",(L74+$R74)*2*52,IF(N74="M",(L74+$R74)*12,IF(N74="Bi-M",(L74+$R74)*2*12,IF(N74="Trim",(L74+$R74)*4,IF(N74="Sem",(L74+$R74)*2,IF(N74="An",(L74+$R74)*1,IF(N74="","")))))))))))</f>
        <v/>
      </c>
      <c r="T74" s="22"/>
      <c r="U74" s="18" t="str">
        <f>IF(T74="O",S74*10%+S74,IF(T74="N",S74,IF(T74="","renseigner CP")))</f>
        <v>renseigner CP</v>
      </c>
      <c r="V74" s="18" t="str">
        <f t="shared" si="32"/>
        <v/>
      </c>
      <c r="W74" s="32" t="str">
        <f>IF(T74="O",V74*10%+V74,IF(T74="N",V74,IF(T74="","renseigner CP")))</f>
        <v>renseigner CP</v>
      </c>
    </row>
    <row r="75" spans="1:23" ht="11.25" customHeight="1" x14ac:dyDescent="0.2">
      <c r="A75" s="31" t="s">
        <v>52</v>
      </c>
      <c r="B75" s="22"/>
      <c r="C75" s="22"/>
      <c r="D75" s="22"/>
      <c r="E75" s="18" t="e">
        <f>+VLOOKUP(D75,Cadencier!$B$6:$D$42,2,0)</f>
        <v>#N/A</v>
      </c>
      <c r="F75" s="18" t="str">
        <f>+IF(ISNA(E75),"",E75)</f>
        <v/>
      </c>
      <c r="G75" s="18" t="e">
        <f>+VLOOKUP(D75,Cadencier!$B$6:$D$42,3,0)</f>
        <v>#N/A</v>
      </c>
      <c r="H75" s="18" t="str">
        <f t="shared" si="41"/>
        <v/>
      </c>
      <c r="I75" s="23"/>
      <c r="J75" s="24"/>
      <c r="K75" s="24"/>
      <c r="L75" s="25" t="str">
        <f>IF(I75="","",IF(I75="Fort",K75/F75,IF(I75="Faible",K75/H75)))</f>
        <v/>
      </c>
      <c r="M75" s="25">
        <f>IF(J75&lt;=0,0,K75/J75)</f>
        <v>0</v>
      </c>
      <c r="N75" s="22"/>
      <c r="O75" s="18" t="str">
        <f t="shared" si="42"/>
        <v/>
      </c>
      <c r="P75" s="26" t="str">
        <f>IF(N75="J7",25%,"Néant")</f>
        <v>Néant</v>
      </c>
      <c r="Q75" s="27"/>
      <c r="R75" s="28"/>
      <c r="S75" s="18" t="str">
        <f>IF($N75="J5",(L75+$R75)*5*52,IF($N75="J6",(L75+$R75)*6*52,IF($N75="J7",(L75+$R75)*6*52+(L75+$R75)*1*(100%+$P75)*52,IF(N75="Hebdo",(L75+$R75)*1*52,IF(N75="Bi-Hebdo",(L75+$R75)*2*52,IF(N75="M",(L75+$R75)*12,IF(N75="Bi-M",(L75+$R75)*2*12,IF(N75="Trim",(L75+$R75)*4,IF(N75="Sem",(L75+$R75)*2,IF(N75="An",(L75+$R75)*1,IF(N75="","")))))))))))</f>
        <v/>
      </c>
      <c r="T75" s="22"/>
      <c r="U75" s="18" t="str">
        <f>IF(T75="O",S75*10%+S75,IF(T75="N",S75,IF(T75="","renseigner CP")))</f>
        <v>renseigner CP</v>
      </c>
      <c r="V75" s="18" t="str">
        <f t="shared" si="32"/>
        <v/>
      </c>
      <c r="W75" s="32" t="str">
        <f>IF(T75="O",V75*10%+V75,IF(T75="N",V75,IF(T75="","renseigner CP")))</f>
        <v>renseigner CP</v>
      </c>
    </row>
    <row r="76" spans="1:23" ht="11.25" customHeight="1" x14ac:dyDescent="0.2">
      <c r="A76" s="31" t="s">
        <v>52</v>
      </c>
      <c r="B76" s="22"/>
      <c r="C76" s="22"/>
      <c r="D76" s="22"/>
      <c r="E76" s="18" t="e">
        <f>+VLOOKUP(D76,Cadencier!$B$6:$D$42,2,0)</f>
        <v>#N/A</v>
      </c>
      <c r="F76" s="18" t="str">
        <f>+IF(ISNA(E76),"",E76)</f>
        <v/>
      </c>
      <c r="G76" s="18" t="e">
        <f>+VLOOKUP(D76,Cadencier!$B$6:$D$42,3,0)</f>
        <v>#N/A</v>
      </c>
      <c r="H76" s="18" t="str">
        <f t="shared" si="41"/>
        <v/>
      </c>
      <c r="I76" s="23"/>
      <c r="J76" s="24"/>
      <c r="K76" s="24"/>
      <c r="L76" s="25" t="str">
        <f>IF(I76="","",IF(I76="Fort",K76/F76,IF(I76="Faible",K76/H76)))</f>
        <v/>
      </c>
      <c r="M76" s="25">
        <f>IF(J76&lt;=0,0,K76/J76)</f>
        <v>0</v>
      </c>
      <c r="N76" s="22"/>
      <c r="O76" s="18" t="str">
        <f t="shared" si="42"/>
        <v/>
      </c>
      <c r="P76" s="26" t="str">
        <f>IF(N76="J7",25%,"Néant")</f>
        <v>Néant</v>
      </c>
      <c r="Q76" s="27"/>
      <c r="R76" s="28"/>
      <c r="S76" s="18" t="str">
        <f>IF($N76="J5",(L76+$R76)*5*52,IF($N76="J6",(L76+$R76)*6*52,IF($N76="J7",(L76+$R76)*6*52+(L76+$R76)*1*(100%+$P76)*52,IF(N76="Hebdo",(L76+$R76)*1*52,IF(N76="Bi-Hebdo",(L76+$R76)*2*52,IF(N76="M",(L76+$R76)*12,IF(N76="Bi-M",(L76+$R76)*2*12,IF(N76="Trim",(L76+$R76)*4,IF(N76="Sem",(L76+$R76)*2,IF(N76="An",(L76+$R76)*1,IF(N76="","")))))))))))</f>
        <v/>
      </c>
      <c r="T76" s="22"/>
      <c r="U76" s="18" t="str">
        <f>IF(T76="O",S76*10%+S76,IF(T76="N",S76,IF(T76="","renseigner CP")))</f>
        <v>renseigner CP</v>
      </c>
      <c r="V76" s="18" t="str">
        <f t="shared" si="32"/>
        <v/>
      </c>
      <c r="W76" s="32" t="str">
        <f>IF(T76="O",V76*10%+V76,IF(T76="N",V76,IF(T76="","renseigner CP")))</f>
        <v>renseigner CP</v>
      </c>
    </row>
    <row r="77" spans="1:23" ht="11.25" customHeight="1" x14ac:dyDescent="0.2">
      <c r="A77" s="38" t="s">
        <v>52</v>
      </c>
      <c r="B77" s="39"/>
      <c r="C77" s="39"/>
      <c r="D77" s="39"/>
      <c r="E77" s="40" t="e">
        <f>+VLOOKUP(D77,Cadencier!$B$6:$D$42,2,0)</f>
        <v>#N/A</v>
      </c>
      <c r="F77" s="40" t="str">
        <f>+IF(ISNA(E77),"",E77)</f>
        <v/>
      </c>
      <c r="G77" s="40" t="e">
        <f>+VLOOKUP(D77,Cadencier!$B$6:$D$42,3,0)</f>
        <v>#N/A</v>
      </c>
      <c r="H77" s="40" t="str">
        <f t="shared" si="41"/>
        <v/>
      </c>
      <c r="I77" s="41"/>
      <c r="J77" s="42"/>
      <c r="K77" s="42"/>
      <c r="L77" s="43" t="str">
        <f>IF(I77="","",IF(I77="Fort",K77/F77,IF(I77="Faible",K77/H77)))</f>
        <v/>
      </c>
      <c r="M77" s="43">
        <f>IF(J77&lt;=0,0,K77/J77)</f>
        <v>0</v>
      </c>
      <c r="N77" s="39"/>
      <c r="O77" s="40" t="str">
        <f t="shared" si="42"/>
        <v/>
      </c>
      <c r="P77" s="44" t="str">
        <f>IF(N77="J7",25%,"Néant")</f>
        <v>Néant</v>
      </c>
      <c r="Q77" s="45"/>
      <c r="R77" s="46"/>
      <c r="S77" s="40" t="str">
        <f>IF($N77="J5",(L77+$R77)*5*52,IF($N77="J6",(L77+$R77)*6*52,IF($N77="J7",(L77+$R77)*6*52+(L77+$R77)*1*(100%+$P77)*52,IF(N77="Hebdo",(L77+$R77)*1*52,IF(N77="Bi-Hebdo",(L77+$R77)*2*52,IF(N77="M",(L77+$R77)*12,IF(N77="Bi-M",(L77+$R77)*2*12,IF(N77="Trim",(L77+$R77)*4,IF(N77="Sem",(L77+$R77)*2,IF(N77="An",(L77+$R77)*1,IF(N77="","")))))))))))</f>
        <v/>
      </c>
      <c r="T77" s="39"/>
      <c r="U77" s="40" t="str">
        <f>IF(T77="O",S77*10%+S77,IF(T77="N",S77,IF(T77="","renseigner CP")))</f>
        <v>renseigner CP</v>
      </c>
      <c r="V77" s="40" t="str">
        <f t="shared" si="32"/>
        <v/>
      </c>
      <c r="W77" s="47" t="str">
        <f>IF(T77="O",V77*10%+V77,IF(T77="N",V77,IF(T77="","renseigner CP")))</f>
        <v>renseigner CP</v>
      </c>
    </row>
    <row r="78" spans="1:23" ht="11.25" customHeight="1" x14ac:dyDescent="0.2">
      <c r="A78" s="38" t="s">
        <v>52</v>
      </c>
      <c r="B78" s="39"/>
      <c r="C78" s="39"/>
      <c r="D78" s="39"/>
      <c r="E78" s="40" t="e">
        <f>+VLOOKUP(D78,Cadencier!$B$6:$D$42,2,0)</f>
        <v>#N/A</v>
      </c>
      <c r="F78" s="40" t="str">
        <f>+IF(ISNA(E78),"",E78)</f>
        <v/>
      </c>
      <c r="G78" s="40" t="e">
        <f>+VLOOKUP(D78,Cadencier!$B$6:$D$42,3,0)</f>
        <v>#N/A</v>
      </c>
      <c r="H78" s="40" t="str">
        <f t="shared" si="41"/>
        <v/>
      </c>
      <c r="I78" s="41"/>
      <c r="J78" s="42"/>
      <c r="K78" s="42"/>
      <c r="L78" s="43" t="str">
        <f>IF(I78="","",IF(I78="Fort",K78/F78,IF(I78="Faible",K78/H78)))</f>
        <v/>
      </c>
      <c r="M78" s="43">
        <f>IF(J78&lt;=0,0,K78/J78)</f>
        <v>0</v>
      </c>
      <c r="N78" s="39"/>
      <c r="O78" s="40" t="str">
        <f t="shared" si="42"/>
        <v/>
      </c>
      <c r="P78" s="44" t="str">
        <f>IF(N78="J7",25%,"Néant")</f>
        <v>Néant</v>
      </c>
      <c r="Q78" s="45"/>
      <c r="R78" s="46"/>
      <c r="S78" s="40" t="str">
        <f>IF($N78="J5",(L78+$R78)*5*52,IF($N78="J6",(L78+$R78)*6*52,IF($N78="J7",(L78+$R78)*6*52+(L78+$R78)*1*(100%+$P78)*52,IF(N78="Hebdo",(L78+$R78)*1*52,IF(N78="Bi-Hebdo",(L78+$R78)*2*52,IF(N78="M",(L78+$R78)*12,IF(N78="Bi-M",(L78+$R78)*2*12,IF(N78="Trim",(L78+$R78)*4,IF(N78="Sem",(L78+$R78)*2,IF(N78="An",(L78+$R78)*1,IF(N78="","")))))))))))</f>
        <v/>
      </c>
      <c r="T78" s="39"/>
      <c r="U78" s="40" t="str">
        <f>IF(T78="O",S78*10%+S78,IF(T78="N",S78,IF(T78="","renseigner CP")))</f>
        <v>renseigner CP</v>
      </c>
      <c r="V78" s="40" t="str">
        <f t="shared" si="32"/>
        <v/>
      </c>
      <c r="W78" s="47" t="str">
        <f>IF(T78="O",V78*10%+V78,IF(T78="N",V78,IF(T78="","renseigner CP")))</f>
        <v>renseigner CP</v>
      </c>
    </row>
    <row r="79" spans="1:23" x14ac:dyDescent="0.2">
      <c r="A79" s="31" t="s">
        <v>52</v>
      </c>
      <c r="B79" s="22"/>
      <c r="C79" s="22"/>
      <c r="D79" s="22"/>
      <c r="E79" s="18" t="e">
        <f>+VLOOKUP(D79,Cadencier!$B$6:$D$42,2,0)</f>
        <v>#N/A</v>
      </c>
      <c r="F79" s="18" t="str">
        <f t="shared" si="9"/>
        <v/>
      </c>
      <c r="G79" s="18" t="e">
        <f>+VLOOKUP(D79,Cadencier!$B$6:$D$42,3,0)</f>
        <v>#N/A</v>
      </c>
      <c r="H79" s="18" t="str">
        <f t="shared" si="0"/>
        <v/>
      </c>
      <c r="I79" s="23"/>
      <c r="J79" s="24"/>
      <c r="K79" s="24"/>
      <c r="L79" s="25" t="str">
        <f t="shared" si="10"/>
        <v/>
      </c>
      <c r="M79" s="25">
        <f t="shared" si="11"/>
        <v>0</v>
      </c>
      <c r="N79" s="22"/>
      <c r="O79" s="18" t="str">
        <f>IF($N79="J5",5*52,IF($N79="J6",6*52,IF($N79="J7",6*52+1*52,IF(N79="Hebdo",1*52,IF(N79="Bi-Hebdo",2*52,IF(N79="M",12,IF(N79="Bi-M",2*12,IF(N79="Trim",4,IF(N79="Sem",2,IF(N79="An",1,IF(N79="","")))))))))))</f>
        <v/>
      </c>
      <c r="P79" s="26" t="str">
        <f t="shared" si="12"/>
        <v>Néant</v>
      </c>
      <c r="Q79" s="27"/>
      <c r="R79" s="28"/>
      <c r="S79" s="18" t="str">
        <f t="shared" si="13"/>
        <v/>
      </c>
      <c r="T79" s="22"/>
      <c r="U79" s="18" t="str">
        <f t="shared" si="14"/>
        <v>renseigner CP</v>
      </c>
      <c r="V79" s="18" t="str">
        <f t="shared" si="2"/>
        <v/>
      </c>
      <c r="W79" s="32" t="str">
        <f t="shared" si="15"/>
        <v>renseigner CP</v>
      </c>
    </row>
    <row r="80" spans="1:23" ht="13.5" thickBot="1" x14ac:dyDescent="0.25">
      <c r="A80" s="33"/>
      <c r="B80" s="34"/>
      <c r="C80" s="34"/>
      <c r="D80" s="34" t="s">
        <v>48</v>
      </c>
      <c r="E80" s="34"/>
      <c r="F80" s="34"/>
      <c r="G80" s="34"/>
      <c r="H80" s="34"/>
      <c r="I80" s="35"/>
      <c r="J80" s="34"/>
      <c r="K80" s="34"/>
      <c r="L80" s="34"/>
      <c r="M80" s="34"/>
      <c r="N80" s="34"/>
      <c r="O80" s="34"/>
      <c r="P80" s="34"/>
      <c r="Q80" s="34"/>
      <c r="R80" s="34"/>
      <c r="S80" s="36">
        <f ca="1">SUM(INDIRECT("s7:s"&amp;ROW()-1))</f>
        <v>0</v>
      </c>
      <c r="T80" s="34"/>
      <c r="U80" s="36">
        <f ca="1">SUM(INDIRECT("u7:u"&amp;ROW()-1))</f>
        <v>0</v>
      </c>
      <c r="V80" s="36">
        <f ca="1">SUM(INDIRECT("v7:v"&amp;ROW()-1))</f>
        <v>0</v>
      </c>
      <c r="W80" s="37">
        <f ca="1">SUM(INDIRECT("w7:w"&amp;ROW()-1))</f>
        <v>0</v>
      </c>
    </row>
  </sheetData>
  <sheetProtection sheet="1" objects="1" scenarios="1" insertRows="0" selectLockedCells="1"/>
  <mergeCells count="5">
    <mergeCell ref="E5:H5"/>
    <mergeCell ref="T6:U6"/>
    <mergeCell ref="Q5:R5"/>
    <mergeCell ref="S5:U5"/>
    <mergeCell ref="V5:W5"/>
  </mergeCells>
  <conditionalFormatting sqref="R31:R44 R46:R48 R56:R57 R17:R29 R7 R64:R66 R60 R69 R79 R10 R13:R15">
    <cfRule type="expression" dxfId="90" priority="76" stopIfTrue="1">
      <formula>Q7&lt;&gt;"O"</formula>
    </cfRule>
  </conditionalFormatting>
  <conditionalFormatting sqref="R45">
    <cfRule type="expression" dxfId="89" priority="70" stopIfTrue="1">
      <formula>Q45&lt;&gt;"O"</formula>
    </cfRule>
  </conditionalFormatting>
  <conditionalFormatting sqref="R30">
    <cfRule type="expression" dxfId="88" priority="68" stopIfTrue="1">
      <formula>Q30&lt;&gt;"O"</formula>
    </cfRule>
  </conditionalFormatting>
  <conditionalFormatting sqref="R49">
    <cfRule type="expression" dxfId="87" priority="64" stopIfTrue="1">
      <formula>Q49&lt;&gt;"O"</formula>
    </cfRule>
  </conditionalFormatting>
  <conditionalFormatting sqref="R53">
    <cfRule type="expression" dxfId="86" priority="62" stopIfTrue="1">
      <formula>Q53&lt;&gt;"O"</formula>
    </cfRule>
  </conditionalFormatting>
  <conditionalFormatting sqref="R52">
    <cfRule type="expression" dxfId="85" priority="61" stopIfTrue="1">
      <formula>Q52&lt;&gt;"O"</formula>
    </cfRule>
  </conditionalFormatting>
  <conditionalFormatting sqref="R51">
    <cfRule type="expression" dxfId="84" priority="60" stopIfTrue="1">
      <formula>Q51&lt;&gt;"O"</formula>
    </cfRule>
  </conditionalFormatting>
  <conditionalFormatting sqref="R50">
    <cfRule type="expression" dxfId="83" priority="58" stopIfTrue="1">
      <formula>Q50&lt;&gt;"O"</formula>
    </cfRule>
  </conditionalFormatting>
  <conditionalFormatting sqref="R55">
    <cfRule type="expression" dxfId="82" priority="57" stopIfTrue="1">
      <formula>Q55&lt;&gt;"O"</formula>
    </cfRule>
  </conditionalFormatting>
  <conditionalFormatting sqref="R54">
    <cfRule type="expression" dxfId="81" priority="56" stopIfTrue="1">
      <formula>Q54&lt;&gt;"O"</formula>
    </cfRule>
  </conditionalFormatting>
  <conditionalFormatting sqref="R58">
    <cfRule type="expression" dxfId="80" priority="54" stopIfTrue="1">
      <formula>Q58&lt;&gt;"O"</formula>
    </cfRule>
  </conditionalFormatting>
  <conditionalFormatting sqref="R59">
    <cfRule type="expression" dxfId="79" priority="53" stopIfTrue="1">
      <formula>Q59&lt;&gt;"O"</formula>
    </cfRule>
  </conditionalFormatting>
  <conditionalFormatting sqref="R16">
    <cfRule type="expression" dxfId="78" priority="50" stopIfTrue="1">
      <formula>Q16&lt;&gt;"O"</formula>
    </cfRule>
  </conditionalFormatting>
  <conditionalFormatting sqref="R61">
    <cfRule type="expression" dxfId="77" priority="47" stopIfTrue="1">
      <formula>Q61&lt;&gt;"O"</formula>
    </cfRule>
  </conditionalFormatting>
  <conditionalFormatting sqref="R63">
    <cfRule type="expression" dxfId="76" priority="46" stopIfTrue="1">
      <formula>Q63&lt;&gt;"O"</formula>
    </cfRule>
  </conditionalFormatting>
  <conditionalFormatting sqref="R62">
    <cfRule type="expression" dxfId="75" priority="45" stopIfTrue="1">
      <formula>Q62&lt;&gt;"O"</formula>
    </cfRule>
  </conditionalFormatting>
  <conditionalFormatting sqref="R68">
    <cfRule type="expression" dxfId="74" priority="44" stopIfTrue="1">
      <formula>Q68&lt;&gt;"O"</formula>
    </cfRule>
  </conditionalFormatting>
  <conditionalFormatting sqref="R67">
    <cfRule type="expression" dxfId="73" priority="43" stopIfTrue="1">
      <formula>Q67&lt;&gt;"O"</formula>
    </cfRule>
  </conditionalFormatting>
  <conditionalFormatting sqref="R71">
    <cfRule type="expression" dxfId="72" priority="41" stopIfTrue="1">
      <formula>Q71&lt;&gt;"O"</formula>
    </cfRule>
  </conditionalFormatting>
  <conditionalFormatting sqref="R70">
    <cfRule type="expression" dxfId="71" priority="40" stopIfTrue="1">
      <formula>Q70&lt;&gt;"O"</formula>
    </cfRule>
  </conditionalFormatting>
  <conditionalFormatting sqref="R72">
    <cfRule type="expression" dxfId="70" priority="39" stopIfTrue="1">
      <formula>Q72&lt;&gt;"O"</formula>
    </cfRule>
  </conditionalFormatting>
  <conditionalFormatting sqref="R73">
    <cfRule type="expression" dxfId="69" priority="38" stopIfTrue="1">
      <formula>Q73&lt;&gt;"O"</formula>
    </cfRule>
  </conditionalFormatting>
  <conditionalFormatting sqref="R74">
    <cfRule type="expression" dxfId="68" priority="37" stopIfTrue="1">
      <formula>Q74&lt;&gt;"O"</formula>
    </cfRule>
  </conditionalFormatting>
  <conditionalFormatting sqref="R75">
    <cfRule type="expression" dxfId="67" priority="36" stopIfTrue="1">
      <formula>Q75&lt;&gt;"O"</formula>
    </cfRule>
  </conditionalFormatting>
  <conditionalFormatting sqref="R9">
    <cfRule type="expression" dxfId="66" priority="35" stopIfTrue="1">
      <formula>Q9&lt;&gt;"O"</formula>
    </cfRule>
  </conditionalFormatting>
  <conditionalFormatting sqref="R76">
    <cfRule type="expression" dxfId="65" priority="34" stopIfTrue="1">
      <formula>Q76&lt;&gt;"O"</formula>
    </cfRule>
  </conditionalFormatting>
  <conditionalFormatting sqref="R12">
    <cfRule type="expression" dxfId="64" priority="33" stopIfTrue="1">
      <formula>Q12&lt;&gt;"O"</formula>
    </cfRule>
  </conditionalFormatting>
  <conditionalFormatting sqref="R11">
    <cfRule type="expression" dxfId="63" priority="32" stopIfTrue="1">
      <formula>Q11&lt;&gt;"O"</formula>
    </cfRule>
  </conditionalFormatting>
  <conditionalFormatting sqref="B7:D7 B79:D79 B9:D76">
    <cfRule type="containsBlanks" dxfId="62" priority="31">
      <formula>LEN(TRIM(B7))=0</formula>
    </cfRule>
  </conditionalFormatting>
  <conditionalFormatting sqref="I7 I79 I9:I76">
    <cfRule type="containsBlanks" dxfId="61" priority="29">
      <formula>LEN(TRIM(I7))=0</formula>
    </cfRule>
    <cfRule type="containsBlanks" priority="30">
      <formula>LEN(TRIM(I7))=0</formula>
    </cfRule>
  </conditionalFormatting>
  <conditionalFormatting sqref="J7:K7 J79:K79 J9:K76">
    <cfRule type="containsBlanks" dxfId="60" priority="28">
      <formula>LEN(TRIM(J7))=0</formula>
    </cfRule>
  </conditionalFormatting>
  <conditionalFormatting sqref="N7 N79 N9:N76">
    <cfRule type="containsBlanks" dxfId="59" priority="27">
      <formula>LEN(TRIM(N7))=0</formula>
    </cfRule>
  </conditionalFormatting>
  <conditionalFormatting sqref="Q7 Q79 Q9:Q76">
    <cfRule type="containsBlanks" dxfId="58" priority="26">
      <formula>LEN(TRIM(Q7))=0</formula>
    </cfRule>
  </conditionalFormatting>
  <conditionalFormatting sqref="T7 T79 T9:T76">
    <cfRule type="containsBlanks" dxfId="57" priority="25">
      <formula>LEN(TRIM(T7))=0</formula>
    </cfRule>
  </conditionalFormatting>
  <conditionalFormatting sqref="R77">
    <cfRule type="expression" dxfId="56" priority="24" stopIfTrue="1">
      <formula>Q77&lt;&gt;"O"</formula>
    </cfRule>
  </conditionalFormatting>
  <conditionalFormatting sqref="B77:D77">
    <cfRule type="containsBlanks" dxfId="55" priority="23">
      <formula>LEN(TRIM(B77))=0</formula>
    </cfRule>
  </conditionalFormatting>
  <conditionalFormatting sqref="I77">
    <cfRule type="containsBlanks" dxfId="54" priority="21">
      <formula>LEN(TRIM(I77))=0</formula>
    </cfRule>
    <cfRule type="containsBlanks" priority="22">
      <formula>LEN(TRIM(I77))=0</formula>
    </cfRule>
  </conditionalFormatting>
  <conditionalFormatting sqref="J77:K77">
    <cfRule type="containsBlanks" dxfId="53" priority="20">
      <formula>LEN(TRIM(J77))=0</formula>
    </cfRule>
  </conditionalFormatting>
  <conditionalFormatting sqref="N77">
    <cfRule type="containsBlanks" dxfId="52" priority="19">
      <formula>LEN(TRIM(N77))=0</formula>
    </cfRule>
  </conditionalFormatting>
  <conditionalFormatting sqref="Q77">
    <cfRule type="containsBlanks" dxfId="51" priority="18">
      <formula>LEN(TRIM(Q77))=0</formula>
    </cfRule>
  </conditionalFormatting>
  <conditionalFormatting sqref="T77">
    <cfRule type="containsBlanks" dxfId="50" priority="17">
      <formula>LEN(TRIM(T77))=0</formula>
    </cfRule>
  </conditionalFormatting>
  <conditionalFormatting sqref="R8">
    <cfRule type="expression" dxfId="49" priority="16" stopIfTrue="1">
      <formula>Q8&lt;&gt;"O"</formula>
    </cfRule>
  </conditionalFormatting>
  <conditionalFormatting sqref="B8:D8">
    <cfRule type="containsBlanks" dxfId="48" priority="15">
      <formula>LEN(TRIM(B8))=0</formula>
    </cfRule>
  </conditionalFormatting>
  <conditionalFormatting sqref="I8">
    <cfRule type="containsBlanks" dxfId="47" priority="13">
      <formula>LEN(TRIM(I8))=0</formula>
    </cfRule>
    <cfRule type="containsBlanks" priority="14">
      <formula>LEN(TRIM(I8))=0</formula>
    </cfRule>
  </conditionalFormatting>
  <conditionalFormatting sqref="J8:K8">
    <cfRule type="containsBlanks" dxfId="46" priority="12">
      <formula>LEN(TRIM(J8))=0</formula>
    </cfRule>
  </conditionalFormatting>
  <conditionalFormatting sqref="N8">
    <cfRule type="containsBlanks" dxfId="45" priority="11">
      <formula>LEN(TRIM(N8))=0</formula>
    </cfRule>
  </conditionalFormatting>
  <conditionalFormatting sqref="Q8">
    <cfRule type="containsBlanks" dxfId="44" priority="10">
      <formula>LEN(TRIM(Q8))=0</formula>
    </cfRule>
  </conditionalFormatting>
  <conditionalFormatting sqref="T8">
    <cfRule type="containsBlanks" dxfId="43" priority="9">
      <formula>LEN(TRIM(T8))=0</formula>
    </cfRule>
  </conditionalFormatting>
  <conditionalFormatting sqref="R78">
    <cfRule type="expression" dxfId="42" priority="8" stopIfTrue="1">
      <formula>Q78&lt;&gt;"O"</formula>
    </cfRule>
  </conditionalFormatting>
  <conditionalFormatting sqref="B78:D78">
    <cfRule type="containsBlanks" dxfId="41" priority="7">
      <formula>LEN(TRIM(B78))=0</formula>
    </cfRule>
  </conditionalFormatting>
  <conditionalFormatting sqref="I78">
    <cfRule type="containsBlanks" dxfId="40" priority="5">
      <formula>LEN(TRIM(I78))=0</formula>
    </cfRule>
    <cfRule type="containsBlanks" priority="6">
      <formula>LEN(TRIM(I78))=0</formula>
    </cfRule>
  </conditionalFormatting>
  <conditionalFormatting sqref="J78:K78">
    <cfRule type="containsBlanks" dxfId="39" priority="4">
      <formula>LEN(TRIM(J78))=0</formula>
    </cfRule>
  </conditionalFormatting>
  <conditionalFormatting sqref="N78">
    <cfRule type="containsBlanks" dxfId="38" priority="3">
      <formula>LEN(TRIM(N78))=0</formula>
    </cfRule>
  </conditionalFormatting>
  <conditionalFormatting sqref="Q78">
    <cfRule type="containsBlanks" dxfId="37" priority="2">
      <formula>LEN(TRIM(Q78))=0</formula>
    </cfRule>
  </conditionalFormatting>
  <conditionalFormatting sqref="T78">
    <cfRule type="containsBlanks" dxfId="36" priority="1">
      <formula>LEN(TRIM(T78))=0</formula>
    </cfRule>
  </conditionalFormatting>
  <dataValidations count="4">
    <dataValidation type="list" allowBlank="1" showInputMessage="1" showErrorMessage="1" sqref="I7:I79">
      <formula1>"Faible,Fort"</formula1>
    </dataValidation>
    <dataValidation type="list" allowBlank="1" showInputMessage="1" showErrorMessage="1" sqref="N7:N79">
      <formula1>"J5,J6,J7,Hebdo,Bi-Hebdo, M,Bi-M,Trim,Sem,An"</formula1>
    </dataValidation>
    <dataValidation type="list" allowBlank="1" showInputMessage="1" showErrorMessage="1" sqref="T7:T79 Q7:Q79">
      <formula1>"O,N"</formula1>
    </dataValidation>
    <dataValidation type="custom" errorStyle="information" operator="equal" showInputMessage="1" showErrorMessage="1" sqref="R7:R79">
      <formula1>Q7="O"</formula1>
    </dataValidation>
  </dataValidations>
  <pageMargins left="0.7" right="0.7" top="0.75" bottom="0.75" header="0.3" footer="0.3"/>
  <pageSetup scale="76" orientation="landscape" cellComments="atEnd" verticalDpi="4294967293" r:id="rId1"/>
  <headerFooter>
    <oddFooter>&amp;CCopyright Axoleo;a.callebout@axoleo.fr &amp;D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Cadencier!$B$6:$B$42</xm:f>
          </x14:formula1>
          <xm:sqref>D7:D79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B2:K9"/>
  <sheetViews>
    <sheetView zoomScaleNormal="100" workbookViewId="0">
      <selection activeCell="K3" sqref="K3"/>
    </sheetView>
  </sheetViews>
  <sheetFormatPr baseColWidth="10" defaultColWidth="23" defaultRowHeight="11.25" x14ac:dyDescent="0.2"/>
  <cols>
    <col min="1" max="1" width="8" customWidth="1"/>
    <col min="2" max="2" width="20.83203125" customWidth="1"/>
    <col min="3" max="3" width="11" customWidth="1"/>
    <col min="7" max="7" width="17.33203125" customWidth="1"/>
  </cols>
  <sheetData>
    <row r="2" spans="2:11" ht="19.5" customHeight="1" x14ac:dyDescent="0.2">
      <c r="B2" s="21" t="s">
        <v>173</v>
      </c>
      <c r="C2" s="73"/>
      <c r="D2" s="188" t="s">
        <v>174</v>
      </c>
      <c r="E2" s="188"/>
      <c r="F2" s="188"/>
      <c r="G2" s="74">
        <f>IF(Q='Grille des salaires'!C3,'Grille des salaires'!D3,IF(Q='Grille des salaires'!C4,'Grille des salaires'!D4,IF(Q='Grille des salaires'!C5,'Grille des salaires'!D5,IF(Q='Grille des salaires'!C6,'Grille des salaires'!D6,IF(Q='Grille des salaires'!C7,'Grille des salaires'!D7,IF(Q='Grille des salaires'!C8,'Grille des salaires'!D8,IF(Q='Grille des salaires'!C9,'Grille des salaires'!D9,IF(Q='Grille des salaires'!C10,'Grille des salaires'!D10,IF(Q='Grille des salaires'!C11,'Grille des salaires'!D11,IF(Q='Grille des salaires'!C12,'Grille des salaires'!D12,IF(Q='Grille des salaires'!C13,'Grille des salaires'!D13,IF(Q='Grille des salaires'!C14,'Grille des salaires'!D14,IF(Q='Grille des salaires'!C15,'Grille des salaires'!D15,IF(Q='Grille des salaires'!C16,'Grille des salaires'!D16,IF(Q='Grille des salaires'!C17,'Grille des salaires'!D17,IF(Q='Grille des salaires'!C18,'Grille des salaires'!D18,IF(Q='Grille des salaires'!C19,'Grille des salaires'!D19,IF(Q='Grille des salaires'!C20,'Grille des salaires'!D20,IF(Q='Grille des salaires'!C21,'Grille des salaires'!D21,IF(Q='Grille des salaires'!C22,'Grille des salaires'!D22,IF(Q='Grille des salaires'!C23,'Grille des salaires'!D23,IF(Q='Grille des salaires'!C24,'Grille des salaires'!D24,IF(Q='Grille des salaires'!C25,'Grille des salaires'!D25,IF(Q='Grille des salaires'!C26,'Grille des salaires'!D26,IF(Q='Grille des salaires'!C27,'Grille des salaires'!D27,IF(Q='Grille des salaires'!C28,'Grille des salaires'!D28,IF(Q='Grille des salaires'!C29,'Grille des salaires'!D29,IF(Q='Grille des salaires'!C30,'Grille des salaires'!D30,IF(Q='Grille des salaires'!C31,'Grille des salaires'!D31,IF(Q='Grille des salaires'!C32,'Grille des salaires'!D32,IF(Q='Grille des salaires'!C33,'Grille des salaires'!D33,IF(Q='Grille des salaires'!C34,'Grille des salaires'!D34,IF(Q='Grille des salaires'!C35,'Grille des salaires'!D35,IF(Q='Grille des salaires'!C36,'Grille des salaires'!D36,IF(Q='Grille des salaires'!C37,'Grille des salaires'!D37,IF(Q='Grille des salaires'!C38,'Grille des salaires'!D38,IF(Q='Grille des salaires'!C39,'Grille des salaires'!D39,IF(Q='Grille des salaires'!C40,'Grille des salaires'!D40,IF(Q='Grille des salaires'!C41,'Grille des salaires'!D41,0)))))))))))))))))))))))))))))))))))))))</f>
        <v>0</v>
      </c>
    </row>
    <row r="3" spans="2:11" x14ac:dyDescent="0.2">
      <c r="D3" s="75" t="s">
        <v>61</v>
      </c>
      <c r="E3" s="73" t="s">
        <v>177</v>
      </c>
      <c r="F3" s="76">
        <f>IF(E3="Oui",K3,0)</f>
        <v>0</v>
      </c>
      <c r="G3" s="18">
        <f>IF($E$3="Oui",$G$2*F3,0)</f>
        <v>0</v>
      </c>
      <c r="H3" s="188" t="s">
        <v>61</v>
      </c>
      <c r="I3" s="188"/>
      <c r="J3" s="188"/>
      <c r="K3" s="79"/>
    </row>
    <row r="4" spans="2:11" x14ac:dyDescent="0.2">
      <c r="D4" s="75" t="s">
        <v>54</v>
      </c>
      <c r="E4" s="73" t="s">
        <v>178</v>
      </c>
      <c r="F4" s="77">
        <f>IF(E4="Oui",25%,0)</f>
        <v>0</v>
      </c>
      <c r="G4" s="18">
        <f>IF($E$4="Oui",$G$2*F4,0)</f>
        <v>0</v>
      </c>
    </row>
    <row r="5" spans="2:11" x14ac:dyDescent="0.2">
      <c r="D5" s="75" t="s">
        <v>55</v>
      </c>
      <c r="E5" s="73" t="s">
        <v>178</v>
      </c>
      <c r="F5" s="77">
        <f>IF(E5="Oui",K5,0)</f>
        <v>0</v>
      </c>
      <c r="G5" s="18">
        <f>IF($E$5="Oui",$G$2*F5,0)</f>
        <v>0</v>
      </c>
      <c r="H5" s="17" t="s">
        <v>56</v>
      </c>
      <c r="I5" s="28">
        <v>3012.81</v>
      </c>
      <c r="J5" s="20" t="s">
        <v>57</v>
      </c>
      <c r="K5" s="80">
        <v>0.17</v>
      </c>
    </row>
    <row r="6" spans="2:11" ht="22.5" x14ac:dyDescent="0.2">
      <c r="D6" s="75" t="s">
        <v>62</v>
      </c>
      <c r="E6" s="73" t="s">
        <v>178</v>
      </c>
      <c r="F6" s="77"/>
      <c r="G6" s="18">
        <f>IF(E6="Oui",(I6/K6),0)</f>
        <v>0</v>
      </c>
      <c r="H6" s="17" t="s">
        <v>56</v>
      </c>
      <c r="I6" s="28">
        <v>341.77</v>
      </c>
      <c r="J6" s="48" t="s">
        <v>63</v>
      </c>
      <c r="K6" s="28">
        <v>151.66999999999999</v>
      </c>
    </row>
    <row r="7" spans="2:11" x14ac:dyDescent="0.2">
      <c r="D7" s="189" t="s">
        <v>53</v>
      </c>
      <c r="E7" s="189"/>
      <c r="F7" s="78">
        <v>0.41</v>
      </c>
      <c r="G7" s="18">
        <f>IF($C$2="",0,SUM(G2:G6)*F7)</f>
        <v>0</v>
      </c>
    </row>
    <row r="8" spans="2:11" x14ac:dyDescent="0.2">
      <c r="D8" s="189" t="s">
        <v>59</v>
      </c>
      <c r="E8" s="189"/>
      <c r="F8" s="78">
        <v>0.04</v>
      </c>
      <c r="G8" s="18">
        <f>IF($C$2="",0,$G$2*F8)</f>
        <v>0</v>
      </c>
    </row>
    <row r="9" spans="2:11" ht="15.75" x14ac:dyDescent="0.25">
      <c r="D9" s="187" t="s">
        <v>58</v>
      </c>
      <c r="E9" s="187"/>
      <c r="F9" s="187"/>
      <c r="G9" s="81">
        <f>IF(C2="Non",0,SUM(G2:G8))</f>
        <v>0</v>
      </c>
    </row>
  </sheetData>
  <sheetProtection password="DDB7" sheet="1" objects="1" scenarios="1" selectLockedCells="1"/>
  <mergeCells count="5">
    <mergeCell ref="D9:F9"/>
    <mergeCell ref="D2:F2"/>
    <mergeCell ref="H3:J3"/>
    <mergeCell ref="D7:E7"/>
    <mergeCell ref="D8:E8"/>
  </mergeCells>
  <conditionalFormatting sqref="D2:F2">
    <cfRule type="expression" dxfId="35" priority="8">
      <formula>$D$2="Page Suivante"</formula>
    </cfRule>
  </conditionalFormatting>
  <conditionalFormatting sqref="G3:G8">
    <cfRule type="expression" dxfId="34" priority="7">
      <formula>$C$2="Oui"</formula>
    </cfRule>
  </conditionalFormatting>
  <conditionalFormatting sqref="E6">
    <cfRule type="containsBlanks" dxfId="33" priority="2">
      <formula>LEN(TRIM(E6))=0</formula>
    </cfRule>
  </conditionalFormatting>
  <conditionalFormatting sqref="C2">
    <cfRule type="containsBlanks" dxfId="32" priority="6">
      <formula>LEN(TRIM(C2))=0</formula>
    </cfRule>
  </conditionalFormatting>
  <conditionalFormatting sqref="G2">
    <cfRule type="expression" dxfId="31" priority="5">
      <formula>$G$2=0</formula>
    </cfRule>
  </conditionalFormatting>
  <conditionalFormatting sqref="E3:E5">
    <cfRule type="containsBlanks" dxfId="30" priority="4">
      <formula>LEN(TRIM(E3))=0</formula>
    </cfRule>
  </conditionalFormatting>
  <conditionalFormatting sqref="K3 K5:K6 I5:I6 F7:F8">
    <cfRule type="containsBlanks" dxfId="29" priority="3">
      <formula>LEN(TRIM(F3))=0</formula>
    </cfRule>
  </conditionalFormatting>
  <conditionalFormatting sqref="K3 K5:K6 I5:I6">
    <cfRule type="containsBlanks" dxfId="28" priority="1">
      <formula>LEN(TRIM(I3))=0</formula>
    </cfRule>
  </conditionalFormatting>
  <dataValidations count="1">
    <dataValidation type="list" allowBlank="1" showInputMessage="1" showErrorMessage="1" sqref="E3:E6">
      <formula1>"Oui,Non"</formula1>
    </dataValidation>
  </dataValidations>
  <pageMargins left="0.7" right="0.7" top="0.75" bottom="0.75" header="0.3" footer="0.3"/>
  <pageSetup scale="77" orientation="landscape" verticalDpi="0" r:id="rId1"/>
  <headerFooter>
    <oddFooter>&amp;CCopyright Axoleo;a.callebout@axoleo.fr &amp;D</oddFooter>
  </headerFooter>
  <ignoredErrors>
    <ignoredError sqref="F4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'Grille des salaires'!$C$3:$C$41</xm:f>
          </x14:formula1>
          <xm:sqref>C2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M42"/>
  <sheetViews>
    <sheetView zoomScaleNormal="100" workbookViewId="0">
      <selection activeCell="D37" sqref="D37"/>
    </sheetView>
  </sheetViews>
  <sheetFormatPr baseColWidth="10" defaultRowHeight="11.25" x14ac:dyDescent="0.2"/>
  <cols>
    <col min="3" max="3" width="15.33203125" bestFit="1" customWidth="1"/>
    <col min="5" max="5" width="14.6640625" customWidth="1"/>
    <col min="6" max="6" width="14.1640625" customWidth="1"/>
    <col min="7" max="7" width="15.6640625" customWidth="1"/>
    <col min="8" max="8" width="15.33203125" customWidth="1"/>
    <col min="9" max="10" width="13.5" customWidth="1"/>
    <col min="11" max="11" width="13.1640625" customWidth="1"/>
    <col min="12" max="12" width="14.1640625" customWidth="1"/>
    <col min="13" max="13" width="14" customWidth="1"/>
  </cols>
  <sheetData>
    <row r="1" spans="1:13" ht="12" thickBot="1" x14ac:dyDescent="0.25"/>
    <row r="2" spans="1:13" ht="12.75" x14ac:dyDescent="0.2">
      <c r="A2" s="193" t="s">
        <v>64</v>
      </c>
      <c r="B2" s="194"/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5"/>
    </row>
    <row r="3" spans="1:13" s="6" customFormat="1" ht="45" x14ac:dyDescent="0.2">
      <c r="A3" s="82"/>
      <c r="B3" s="48" t="s">
        <v>72</v>
      </c>
      <c r="C3" s="48" t="s">
        <v>73</v>
      </c>
      <c r="D3" s="48" t="s">
        <v>78</v>
      </c>
      <c r="E3" s="48" t="s">
        <v>65</v>
      </c>
      <c r="F3" s="48" t="s">
        <v>66</v>
      </c>
      <c r="G3" s="48" t="s">
        <v>67</v>
      </c>
      <c r="H3" s="48" t="s">
        <v>69</v>
      </c>
      <c r="I3" s="48" t="s">
        <v>70</v>
      </c>
      <c r="J3" s="48" t="s">
        <v>71</v>
      </c>
      <c r="K3" s="48" t="s">
        <v>74</v>
      </c>
      <c r="L3" s="48" t="s">
        <v>75</v>
      </c>
      <c r="M3" s="83" t="s">
        <v>76</v>
      </c>
    </row>
    <row r="4" spans="1:13" x14ac:dyDescent="0.2">
      <c r="A4" s="84" t="s">
        <v>68</v>
      </c>
      <c r="B4" s="27"/>
      <c r="C4" s="28"/>
      <c r="D4" s="28"/>
      <c r="E4" s="28"/>
      <c r="F4" s="28"/>
      <c r="G4" s="18">
        <f t="shared" ref="G4:G14" si="0">IF(B4="N",0,IF(B4="O",E4*F4,0))</f>
        <v>0</v>
      </c>
      <c r="H4" s="28"/>
      <c r="I4" s="18">
        <f t="shared" ref="I4:I14" si="1">IF(H4&lt;&gt;0,G4/H4,0)</f>
        <v>0</v>
      </c>
      <c r="J4" s="19">
        <f t="shared" ref="J4:J14" si="2">IF(H4&lt;&gt;0,H4*1820,0)</f>
        <v>0</v>
      </c>
      <c r="K4" s="18" t="str">
        <f t="shared" ref="K4:K14" si="3">IF(J4&gt;0,G4/J4,"")</f>
        <v/>
      </c>
      <c r="L4" s="79"/>
      <c r="M4" s="85">
        <f t="shared" ref="M4:M14" si="4">I4*L4</f>
        <v>0</v>
      </c>
    </row>
    <row r="5" spans="1:13" ht="11.25" customHeight="1" x14ac:dyDescent="0.2">
      <c r="A5" s="84" t="s">
        <v>68</v>
      </c>
      <c r="B5" s="27"/>
      <c r="C5" s="28"/>
      <c r="D5" s="28"/>
      <c r="E5" s="28"/>
      <c r="F5" s="28"/>
      <c r="G5" s="18">
        <f t="shared" si="0"/>
        <v>0</v>
      </c>
      <c r="H5" s="28"/>
      <c r="I5" s="18">
        <f t="shared" si="1"/>
        <v>0</v>
      </c>
      <c r="J5" s="19">
        <f t="shared" si="2"/>
        <v>0</v>
      </c>
      <c r="K5" s="18" t="str">
        <f t="shared" si="3"/>
        <v/>
      </c>
      <c r="L5" s="79"/>
      <c r="M5" s="85">
        <f t="shared" si="4"/>
        <v>0</v>
      </c>
    </row>
    <row r="6" spans="1:13" ht="11.25" customHeight="1" x14ac:dyDescent="0.2">
      <c r="A6" s="84" t="s">
        <v>68</v>
      </c>
      <c r="B6" s="27"/>
      <c r="C6" s="28"/>
      <c r="D6" s="28"/>
      <c r="E6" s="28"/>
      <c r="F6" s="28"/>
      <c r="G6" s="18">
        <f t="shared" si="0"/>
        <v>0</v>
      </c>
      <c r="H6" s="28"/>
      <c r="I6" s="18">
        <f t="shared" si="1"/>
        <v>0</v>
      </c>
      <c r="J6" s="19">
        <f t="shared" si="2"/>
        <v>0</v>
      </c>
      <c r="K6" s="18" t="str">
        <f t="shared" si="3"/>
        <v/>
      </c>
      <c r="L6" s="79"/>
      <c r="M6" s="85">
        <f t="shared" si="4"/>
        <v>0</v>
      </c>
    </row>
    <row r="7" spans="1:13" ht="11.25" customHeight="1" x14ac:dyDescent="0.2">
      <c r="A7" s="84" t="s">
        <v>68</v>
      </c>
      <c r="B7" s="27"/>
      <c r="C7" s="28"/>
      <c r="D7" s="28"/>
      <c r="E7" s="28"/>
      <c r="F7" s="28"/>
      <c r="G7" s="18">
        <f t="shared" si="0"/>
        <v>0</v>
      </c>
      <c r="H7" s="28"/>
      <c r="I7" s="18">
        <f t="shared" si="1"/>
        <v>0</v>
      </c>
      <c r="J7" s="19">
        <f t="shared" si="2"/>
        <v>0</v>
      </c>
      <c r="K7" s="18" t="str">
        <f t="shared" si="3"/>
        <v/>
      </c>
      <c r="L7" s="79"/>
      <c r="M7" s="85">
        <f t="shared" si="4"/>
        <v>0</v>
      </c>
    </row>
    <row r="8" spans="1:13" ht="11.25" customHeight="1" x14ac:dyDescent="0.2">
      <c r="A8" s="84" t="s">
        <v>68</v>
      </c>
      <c r="B8" s="27"/>
      <c r="C8" s="28"/>
      <c r="D8" s="28"/>
      <c r="E8" s="28"/>
      <c r="F8" s="28"/>
      <c r="G8" s="18">
        <f t="shared" si="0"/>
        <v>0</v>
      </c>
      <c r="H8" s="28"/>
      <c r="I8" s="18">
        <f t="shared" si="1"/>
        <v>0</v>
      </c>
      <c r="J8" s="19">
        <f t="shared" si="2"/>
        <v>0</v>
      </c>
      <c r="K8" s="18" t="str">
        <f t="shared" si="3"/>
        <v/>
      </c>
      <c r="L8" s="79"/>
      <c r="M8" s="85">
        <f t="shared" si="4"/>
        <v>0</v>
      </c>
    </row>
    <row r="9" spans="1:13" ht="11.25" customHeight="1" x14ac:dyDescent="0.2">
      <c r="A9" s="84" t="s">
        <v>68</v>
      </c>
      <c r="B9" s="27"/>
      <c r="C9" s="28"/>
      <c r="D9" s="28"/>
      <c r="E9" s="28"/>
      <c r="F9" s="28"/>
      <c r="G9" s="18">
        <f t="shared" si="0"/>
        <v>0</v>
      </c>
      <c r="H9" s="28"/>
      <c r="I9" s="18">
        <f t="shared" si="1"/>
        <v>0</v>
      </c>
      <c r="J9" s="19">
        <f t="shared" si="2"/>
        <v>0</v>
      </c>
      <c r="K9" s="18" t="str">
        <f t="shared" si="3"/>
        <v/>
      </c>
      <c r="L9" s="79"/>
      <c r="M9" s="85">
        <f t="shared" si="4"/>
        <v>0</v>
      </c>
    </row>
    <row r="10" spans="1:13" ht="11.25" customHeight="1" x14ac:dyDescent="0.2">
      <c r="A10" s="84" t="s">
        <v>68</v>
      </c>
      <c r="B10" s="27"/>
      <c r="C10" s="28"/>
      <c r="D10" s="28"/>
      <c r="E10" s="28"/>
      <c r="F10" s="28"/>
      <c r="G10" s="18">
        <f t="shared" si="0"/>
        <v>0</v>
      </c>
      <c r="H10" s="28"/>
      <c r="I10" s="18">
        <f t="shared" si="1"/>
        <v>0</v>
      </c>
      <c r="J10" s="19">
        <f t="shared" si="2"/>
        <v>0</v>
      </c>
      <c r="K10" s="18" t="str">
        <f t="shared" si="3"/>
        <v/>
      </c>
      <c r="L10" s="79"/>
      <c r="M10" s="85">
        <f t="shared" si="4"/>
        <v>0</v>
      </c>
    </row>
    <row r="11" spans="1:13" ht="11.25" customHeight="1" x14ac:dyDescent="0.2">
      <c r="A11" s="84" t="s">
        <v>68</v>
      </c>
      <c r="B11" s="27"/>
      <c r="C11" s="28"/>
      <c r="D11" s="28"/>
      <c r="E11" s="28"/>
      <c r="F11" s="28"/>
      <c r="G11" s="18">
        <f t="shared" si="0"/>
        <v>0</v>
      </c>
      <c r="H11" s="28"/>
      <c r="I11" s="18">
        <f t="shared" si="1"/>
        <v>0</v>
      </c>
      <c r="J11" s="19">
        <f t="shared" si="2"/>
        <v>0</v>
      </c>
      <c r="K11" s="18" t="str">
        <f t="shared" si="3"/>
        <v/>
      </c>
      <c r="L11" s="79"/>
      <c r="M11" s="85">
        <f t="shared" si="4"/>
        <v>0</v>
      </c>
    </row>
    <row r="12" spans="1:13" ht="11.25" customHeight="1" x14ac:dyDescent="0.2">
      <c r="A12" s="84" t="s">
        <v>68</v>
      </c>
      <c r="B12" s="27"/>
      <c r="C12" s="28"/>
      <c r="D12" s="28"/>
      <c r="E12" s="28"/>
      <c r="F12" s="28"/>
      <c r="G12" s="18">
        <f t="shared" ref="G12" si="5">IF(B12="N",0,IF(B12="O",E12*F12,0))</f>
        <v>0</v>
      </c>
      <c r="H12" s="28"/>
      <c r="I12" s="18">
        <f t="shared" ref="I12" si="6">IF(H12&lt;&gt;0,G12/H12,0)</f>
        <v>0</v>
      </c>
      <c r="J12" s="19">
        <f t="shared" ref="J12" si="7">IF(H12&lt;&gt;0,H12*1820,0)</f>
        <v>0</v>
      </c>
      <c r="K12" s="18" t="str">
        <f t="shared" ref="K12" si="8">IF(J12&gt;0,G12/J12,"")</f>
        <v/>
      </c>
      <c r="L12" s="79"/>
      <c r="M12" s="85">
        <f t="shared" ref="M12" si="9">I12*L12</f>
        <v>0</v>
      </c>
    </row>
    <row r="13" spans="1:13" ht="11.25" customHeight="1" x14ac:dyDescent="0.2">
      <c r="A13" s="84" t="s">
        <v>68</v>
      </c>
      <c r="B13" s="27"/>
      <c r="C13" s="28"/>
      <c r="D13" s="28"/>
      <c r="E13" s="28"/>
      <c r="F13" s="28"/>
      <c r="G13" s="18">
        <f t="shared" ref="G13" si="10">IF(B13="N",0,IF(B13="O",E13*F13,0))</f>
        <v>0</v>
      </c>
      <c r="H13" s="28"/>
      <c r="I13" s="18">
        <f t="shared" ref="I13" si="11">IF(H13&lt;&gt;0,G13/H13,0)</f>
        <v>0</v>
      </c>
      <c r="J13" s="19">
        <f t="shared" ref="J13" si="12">IF(H13&lt;&gt;0,H13*1820,0)</f>
        <v>0</v>
      </c>
      <c r="K13" s="18" t="str">
        <f t="shared" ref="K13" si="13">IF(J13&gt;0,G13/J13,"")</f>
        <v/>
      </c>
      <c r="L13" s="79"/>
      <c r="M13" s="85">
        <f t="shared" ref="M13" si="14">I13*L13</f>
        <v>0</v>
      </c>
    </row>
    <row r="14" spans="1:13" ht="11.25" customHeight="1" thickBot="1" x14ac:dyDescent="0.25">
      <c r="A14" s="86" t="s">
        <v>68</v>
      </c>
      <c r="B14" s="87"/>
      <c r="C14" s="88"/>
      <c r="D14" s="88"/>
      <c r="E14" s="88"/>
      <c r="F14" s="88"/>
      <c r="G14" s="89">
        <f t="shared" si="0"/>
        <v>0</v>
      </c>
      <c r="H14" s="88"/>
      <c r="I14" s="89">
        <f t="shared" si="1"/>
        <v>0</v>
      </c>
      <c r="J14" s="90">
        <f t="shared" si="2"/>
        <v>0</v>
      </c>
      <c r="K14" s="89" t="str">
        <f t="shared" si="3"/>
        <v/>
      </c>
      <c r="L14" s="91"/>
      <c r="M14" s="92">
        <f t="shared" si="4"/>
        <v>0</v>
      </c>
    </row>
    <row r="15" spans="1:13" ht="12" thickBot="1" x14ac:dyDescent="0.25">
      <c r="M15" s="93">
        <f ca="1">SUM(INDIRECT("M4:M"&amp;ROW()-1))</f>
        <v>0</v>
      </c>
    </row>
    <row r="18" spans="1:10" ht="12" thickBot="1" x14ac:dyDescent="0.25"/>
    <row r="19" spans="1:10" ht="12.75" x14ac:dyDescent="0.2">
      <c r="A19" s="193" t="s">
        <v>175</v>
      </c>
      <c r="B19" s="194"/>
      <c r="C19" s="194"/>
      <c r="D19" s="194"/>
      <c r="E19" s="194"/>
      <c r="F19" s="194"/>
      <c r="G19" s="194"/>
      <c r="H19" s="194"/>
      <c r="I19" s="195"/>
    </row>
    <row r="20" spans="1:10" ht="45" x14ac:dyDescent="0.2">
      <c r="A20" s="82"/>
      <c r="B20" s="48" t="s">
        <v>79</v>
      </c>
      <c r="C20" s="48" t="s">
        <v>73</v>
      </c>
      <c r="D20" s="48" t="s">
        <v>78</v>
      </c>
      <c r="E20" s="48" t="s">
        <v>65</v>
      </c>
      <c r="F20" s="48" t="s">
        <v>66</v>
      </c>
      <c r="G20" s="48" t="s">
        <v>67</v>
      </c>
      <c r="H20" s="48" t="s">
        <v>77</v>
      </c>
      <c r="I20" s="83" t="s">
        <v>89</v>
      </c>
      <c r="J20" s="9"/>
    </row>
    <row r="21" spans="1:10" x14ac:dyDescent="0.2">
      <c r="A21" s="84" t="s">
        <v>68</v>
      </c>
      <c r="B21" s="27"/>
      <c r="C21" s="28"/>
      <c r="D21" s="28"/>
      <c r="E21" s="28"/>
      <c r="F21" s="28"/>
      <c r="G21" s="74">
        <f>IF(B21="N",0,IF(B21="O",E21*F21,0))</f>
        <v>0</v>
      </c>
      <c r="H21" s="28"/>
      <c r="I21" s="85">
        <f>G21*H21</f>
        <v>0</v>
      </c>
    </row>
    <row r="22" spans="1:10" ht="11.25" customHeight="1" x14ac:dyDescent="0.2">
      <c r="A22" s="84" t="s">
        <v>68</v>
      </c>
      <c r="B22" s="27"/>
      <c r="C22" s="28"/>
      <c r="D22" s="28"/>
      <c r="E22" s="28"/>
      <c r="F22" s="28"/>
      <c r="G22" s="74">
        <f t="shared" ref="G22:G28" si="15">IF(B22="N",0,IF(B22="O",E22*F22,0))</f>
        <v>0</v>
      </c>
      <c r="H22" s="28"/>
      <c r="I22" s="85">
        <f t="shared" ref="I22:I28" si="16">G22*H22</f>
        <v>0</v>
      </c>
    </row>
    <row r="23" spans="1:10" ht="11.25" customHeight="1" x14ac:dyDescent="0.2">
      <c r="A23" s="84" t="s">
        <v>68</v>
      </c>
      <c r="B23" s="27"/>
      <c r="C23" s="28"/>
      <c r="D23" s="28"/>
      <c r="E23" s="28"/>
      <c r="F23" s="28"/>
      <c r="G23" s="74">
        <f t="shared" si="15"/>
        <v>0</v>
      </c>
      <c r="H23" s="28"/>
      <c r="I23" s="85">
        <f t="shared" si="16"/>
        <v>0</v>
      </c>
    </row>
    <row r="24" spans="1:10" ht="11.25" customHeight="1" x14ac:dyDescent="0.2">
      <c r="A24" s="84" t="s">
        <v>68</v>
      </c>
      <c r="B24" s="27"/>
      <c r="C24" s="28"/>
      <c r="D24" s="28"/>
      <c r="E24" s="28"/>
      <c r="F24" s="28"/>
      <c r="G24" s="74">
        <f t="shared" si="15"/>
        <v>0</v>
      </c>
      <c r="H24" s="28"/>
      <c r="I24" s="85">
        <f t="shared" si="16"/>
        <v>0</v>
      </c>
    </row>
    <row r="25" spans="1:10" ht="11.25" customHeight="1" x14ac:dyDescent="0.2">
      <c r="A25" s="84" t="s">
        <v>68</v>
      </c>
      <c r="B25" s="27"/>
      <c r="C25" s="28"/>
      <c r="D25" s="28"/>
      <c r="E25" s="28"/>
      <c r="F25" s="28"/>
      <c r="G25" s="74">
        <f t="shared" si="15"/>
        <v>0</v>
      </c>
      <c r="H25" s="28"/>
      <c r="I25" s="85">
        <f t="shared" si="16"/>
        <v>0</v>
      </c>
    </row>
    <row r="26" spans="1:10" ht="11.25" customHeight="1" x14ac:dyDescent="0.2">
      <c r="A26" s="84" t="s">
        <v>68</v>
      </c>
      <c r="B26" s="27"/>
      <c r="C26" s="28"/>
      <c r="D26" s="28"/>
      <c r="E26" s="28"/>
      <c r="F26" s="28"/>
      <c r="G26" s="74">
        <f t="shared" si="15"/>
        <v>0</v>
      </c>
      <c r="H26" s="28"/>
      <c r="I26" s="85">
        <f t="shared" si="16"/>
        <v>0</v>
      </c>
    </row>
    <row r="27" spans="1:10" x14ac:dyDescent="0.2">
      <c r="A27" s="84" t="s">
        <v>68</v>
      </c>
      <c r="B27" s="27"/>
      <c r="C27" s="28"/>
      <c r="D27" s="28"/>
      <c r="E27" s="28"/>
      <c r="F27" s="28"/>
      <c r="G27" s="74">
        <f t="shared" si="15"/>
        <v>0</v>
      </c>
      <c r="H27" s="28"/>
      <c r="I27" s="85">
        <f t="shared" si="16"/>
        <v>0</v>
      </c>
    </row>
    <row r="28" spans="1:10" ht="12" thickBot="1" x14ac:dyDescent="0.25">
      <c r="A28" s="86" t="s">
        <v>68</v>
      </c>
      <c r="B28" s="87"/>
      <c r="C28" s="88"/>
      <c r="D28" s="88"/>
      <c r="E28" s="88"/>
      <c r="F28" s="88"/>
      <c r="G28" s="94">
        <f t="shared" si="15"/>
        <v>0</v>
      </c>
      <c r="H28" s="88"/>
      <c r="I28" s="92">
        <f t="shared" si="16"/>
        <v>0</v>
      </c>
    </row>
    <row r="29" spans="1:10" ht="12" thickBot="1" x14ac:dyDescent="0.25">
      <c r="I29" s="93">
        <f ca="1">SUM(INDIRECT("i15:i"&amp;ROW()-1))</f>
        <v>0</v>
      </c>
    </row>
    <row r="30" spans="1:10" ht="33.75" customHeight="1" thickBot="1" x14ac:dyDescent="0.25">
      <c r="G30" s="196" t="str">
        <f ca="1">+IF(I29&lt;=0,"Montant Annuel Produits et Consommbales (Forfait)","")</f>
        <v>Montant Annuel Produits et Consommbales (Forfait)</v>
      </c>
      <c r="H30" s="196"/>
      <c r="I30" s="1"/>
    </row>
    <row r="31" spans="1:10" ht="23.25" thickBot="1" x14ac:dyDescent="0.25">
      <c r="D31" s="64" t="str">
        <f ca="1">IF($C$32="Application Taux Forfaitaire / Salaires","Taux (%)","")</f>
        <v>Taux (%)</v>
      </c>
      <c r="E31" s="95" t="str">
        <f ca="1">IF($C$32="Application Taux Forfaitaire / Salaires","Temps (Encombrement)","")</f>
        <v>Temps (Encombrement)</v>
      </c>
      <c r="F31" s="95" t="str">
        <f ca="1">IF($C$32="Application Taux Forfaitaire / Salaires","Temps (Spécifique)","")</f>
        <v>Temps (Spécifique)</v>
      </c>
      <c r="G31" s="95" t="str">
        <f ca="1">IF($C$32="Application Taux Forfaitaire / Salaires","Temps (Encombrement)","")</f>
        <v>Temps (Encombrement)</v>
      </c>
      <c r="H31" s="96" t="str">
        <f ca="1">IF($C$32="Application Taux Forfaitaire / Salaires","Temps (Spécifique)","")</f>
        <v>Temps (Spécifique)</v>
      </c>
      <c r="I31" s="1"/>
    </row>
    <row r="32" spans="1:10" ht="34.5" thickBot="1" x14ac:dyDescent="0.25">
      <c r="C32" s="101" t="str">
        <f ca="1">IF(I29&lt;=0,"Application Taux Forfaitaire / Salaires","")</f>
        <v>Application Taux Forfaitaire / Salaires</v>
      </c>
      <c r="D32" s="97">
        <v>2.5000000000000001E-2</v>
      </c>
      <c r="E32" s="98">
        <f ca="1">IF($C$32="Application Taux Forfaitaire / Salaires",'Moyenne de rendement nettoyage'!U80,"")</f>
        <v>0</v>
      </c>
      <c r="F32" s="99">
        <f ca="1">IF($C$32="Application Taux Forfaitaire / Salaires",'Moyenne de rendement nettoyage'!W80,"")</f>
        <v>0</v>
      </c>
      <c r="G32" s="98">
        <f ca="1">IF($C$32="Application Taux Forfaitaire / Salaires",D32*E32*'Tableau de calcul de Taux Hor'!G9,"")</f>
        <v>0</v>
      </c>
      <c r="H32" s="100">
        <f ca="1">IF($C$32="Application Taux Forfaitaire / Salaires",D32*F32*'Tableau de calcul de Taux Hor'!G9,"")</f>
        <v>0</v>
      </c>
    </row>
    <row r="33" spans="3:11" ht="12" thickBot="1" x14ac:dyDescent="0.25">
      <c r="G33" s="102">
        <f ca="1">IF($C$32="Application Taux Forfaitaire / Salaires",G32,)</f>
        <v>0</v>
      </c>
      <c r="H33" s="103">
        <f ca="1">IF($C$32="Application Taux Forfaitaire / Salaires",H32,)</f>
        <v>0</v>
      </c>
    </row>
    <row r="35" spans="3:11" ht="12.75" customHeight="1" thickBot="1" x14ac:dyDescent="0.25">
      <c r="C35" s="196" t="s">
        <v>82</v>
      </c>
      <c r="D35" s="196"/>
      <c r="E35" s="196"/>
      <c r="F35" s="196"/>
      <c r="G35" s="196"/>
      <c r="H35" s="196"/>
      <c r="I35" s="196"/>
      <c r="J35" s="196"/>
      <c r="K35" s="196"/>
    </row>
    <row r="36" spans="3:11" ht="34.5" thickBot="1" x14ac:dyDescent="0.25">
      <c r="D36" s="64" t="s">
        <v>46</v>
      </c>
      <c r="E36" s="104" t="s">
        <v>84</v>
      </c>
      <c r="F36" s="104" t="s">
        <v>85</v>
      </c>
      <c r="G36" s="95" t="s">
        <v>86</v>
      </c>
      <c r="H36" s="105" t="s">
        <v>88</v>
      </c>
      <c r="I36" s="96" t="s">
        <v>87</v>
      </c>
    </row>
    <row r="37" spans="3:11" ht="12" thickBot="1" x14ac:dyDescent="0.25">
      <c r="C37" s="55" t="s">
        <v>83</v>
      </c>
      <c r="D37" s="106"/>
      <c r="E37" s="107"/>
      <c r="F37" s="108"/>
      <c r="G37" s="109"/>
      <c r="H37" s="108"/>
      <c r="I37" s="110">
        <f>IF(D37="O",F37*G37*H37,)</f>
        <v>0</v>
      </c>
    </row>
    <row r="38" spans="3:11" ht="12" thickBot="1" x14ac:dyDescent="0.25">
      <c r="C38" s="14"/>
      <c r="D38" s="14"/>
      <c r="E38" s="115" t="str">
        <f>IF(D37="O","Km Journalier (A/R)","")</f>
        <v/>
      </c>
      <c r="F38" s="116" t="str">
        <f>IF(E38&lt;&gt;"","Fréquence","")</f>
        <v/>
      </c>
      <c r="G38" s="117" t="str">
        <f>IF(F38&lt;&gt;"","Total Km Annuel","")</f>
        <v/>
      </c>
      <c r="H38" s="116" t="str">
        <f>IF(G38&lt;&gt;"","Conso technique au Km (Litre au 100 Km)","")</f>
        <v/>
      </c>
      <c r="I38" s="116" t="str">
        <f>IF(H38&lt;&gt;"","Estimatif Annuel (Litres)","")</f>
        <v/>
      </c>
      <c r="J38" s="118" t="str">
        <f>IF(I38&lt;&gt;"","Cout au Litre","")</f>
        <v/>
      </c>
      <c r="K38" s="119" t="str">
        <f>IF(J38&lt;&gt;"","Montant Annuel Carburant","")</f>
        <v/>
      </c>
    </row>
    <row r="39" spans="3:11" ht="22.5" customHeight="1" thickBot="1" x14ac:dyDescent="0.25">
      <c r="C39" s="197" t="str">
        <f>IF(D37="O","Estimation Conso Carburant","")</f>
        <v/>
      </c>
      <c r="D39" s="198"/>
      <c r="E39" s="111"/>
      <c r="F39" s="112"/>
      <c r="G39" s="113">
        <f>IF(F39="J5",5*52*E39,IF(F39="J6",6*52*E39,IF(F39="J7",6*52*E39+1*52*E39,IF(F39="Hebdo",1*52*E39,IF(F39="Bi-Hebdo",2*52*E39,IF(F39="M",12*E39,IF(F39="Bi-M",2*12*E39,IF(F39="Trim",4*E39,IF(F39="Sem",2*E39,IF(F39="An",1*E39,IF(F39="",0)))))))))))</f>
        <v>0</v>
      </c>
      <c r="H39" s="111"/>
      <c r="I39" s="113">
        <f>IF(H39&lt;=0,0,G39*H39/100)</f>
        <v>0</v>
      </c>
      <c r="J39" s="111"/>
      <c r="K39" s="114">
        <f>IF(J39&lt;&gt;0,I39*J39,0)</f>
        <v>0</v>
      </c>
    </row>
    <row r="40" spans="3:11" ht="12" thickBot="1" x14ac:dyDescent="0.25"/>
    <row r="41" spans="3:11" ht="34.5" thickBot="1" x14ac:dyDescent="0.25">
      <c r="J41" s="120" t="s">
        <v>96</v>
      </c>
      <c r="K41" s="96" t="s">
        <v>102</v>
      </c>
    </row>
    <row r="42" spans="3:11" ht="12.75" customHeight="1" thickBot="1" x14ac:dyDescent="0.25">
      <c r="C42" s="190" t="s">
        <v>90</v>
      </c>
      <c r="D42" s="191"/>
      <c r="E42" s="191"/>
      <c r="F42" s="191"/>
      <c r="G42" s="191"/>
      <c r="H42" s="191"/>
      <c r="I42" s="192"/>
      <c r="J42" s="121">
        <f ca="1">M15+I29+G33+K39</f>
        <v>0</v>
      </c>
      <c r="K42" s="122">
        <f ca="1">M15+I29+H33+K39</f>
        <v>0</v>
      </c>
    </row>
  </sheetData>
  <sheetProtection password="DDB7" sheet="1" objects="1" scenarios="1" selectLockedCells="1"/>
  <mergeCells count="6">
    <mergeCell ref="C42:I42"/>
    <mergeCell ref="A19:I19"/>
    <mergeCell ref="G30:H30"/>
    <mergeCell ref="C35:K35"/>
    <mergeCell ref="A2:M2"/>
    <mergeCell ref="C39:D39"/>
  </mergeCells>
  <conditionalFormatting sqref="G28:I28">
    <cfRule type="expression" dxfId="27" priority="304" stopIfTrue="1">
      <formula>A28&lt;&gt;"O"</formula>
    </cfRule>
  </conditionalFormatting>
  <conditionalFormatting sqref="G27:I27">
    <cfRule type="expression" dxfId="26" priority="297" stopIfTrue="1">
      <formula>A27&lt;&gt;"O"</formula>
    </cfRule>
  </conditionalFormatting>
  <conditionalFormatting sqref="G26:I26">
    <cfRule type="expression" dxfId="25" priority="284" stopIfTrue="1">
      <formula>A26&lt;&gt;"O"</formula>
    </cfRule>
  </conditionalFormatting>
  <conditionalFormatting sqref="G25:I25">
    <cfRule type="expression" dxfId="24" priority="278" stopIfTrue="1">
      <formula>A25&lt;&gt;"O"</formula>
    </cfRule>
  </conditionalFormatting>
  <conditionalFormatting sqref="G24:I24">
    <cfRule type="expression" dxfId="23" priority="272" stopIfTrue="1">
      <formula>A24&lt;&gt;"O"</formula>
    </cfRule>
  </conditionalFormatting>
  <conditionalFormatting sqref="D32">
    <cfRule type="expression" dxfId="22" priority="243" stopIfTrue="1">
      <formula>$I$29&gt;0</formula>
    </cfRule>
    <cfRule type="containsBlanks" dxfId="21" priority="305" stopIfTrue="1">
      <formula>LEN(TRIM(D32))=0</formula>
    </cfRule>
  </conditionalFormatting>
  <conditionalFormatting sqref="B4:F14">
    <cfRule type="containsBlanks" dxfId="20" priority="29">
      <formula>LEN(TRIM(B4))=0</formula>
    </cfRule>
  </conditionalFormatting>
  <conditionalFormatting sqref="H4:H14">
    <cfRule type="containsBlanks" dxfId="19" priority="28">
      <formula>LEN(TRIM(H4))=0</formula>
    </cfRule>
  </conditionalFormatting>
  <conditionalFormatting sqref="L4:L14">
    <cfRule type="containsBlanks" dxfId="18" priority="27">
      <formula>LEN(TRIM(L4))=0</formula>
    </cfRule>
  </conditionalFormatting>
  <conditionalFormatting sqref="B21:F28">
    <cfRule type="containsBlanks" dxfId="17" priority="26">
      <formula>LEN(TRIM(B21))=0</formula>
    </cfRule>
  </conditionalFormatting>
  <conditionalFormatting sqref="G21:I21">
    <cfRule type="expression" dxfId="16" priority="16" stopIfTrue="1">
      <formula>$B$21&lt;&gt;"O"</formula>
    </cfRule>
  </conditionalFormatting>
  <conditionalFormatting sqref="G22:I22">
    <cfRule type="expression" dxfId="15" priority="15" stopIfTrue="1">
      <formula>$B$22&lt;&gt;"O"</formula>
    </cfRule>
  </conditionalFormatting>
  <conditionalFormatting sqref="G23:I23">
    <cfRule type="expression" dxfId="14" priority="14" stopIfTrue="1">
      <formula>$B$23&lt;&gt;"O"</formula>
    </cfRule>
  </conditionalFormatting>
  <conditionalFormatting sqref="D37">
    <cfRule type="containsBlanks" dxfId="13" priority="6">
      <formula>LEN(TRIM(D37))=0</formula>
    </cfRule>
  </conditionalFormatting>
  <conditionalFormatting sqref="E37:H37">
    <cfRule type="containsBlanks" dxfId="12" priority="3">
      <formula>LEN(TRIM(E37))=0</formula>
    </cfRule>
    <cfRule type="expression" dxfId="11" priority="5">
      <formula>$D$37&lt;&gt;"O"</formula>
    </cfRule>
  </conditionalFormatting>
  <conditionalFormatting sqref="B30:I33">
    <cfRule type="expression" dxfId="10" priority="4" stopIfTrue="1">
      <formula>$I$29&gt;0</formula>
    </cfRule>
  </conditionalFormatting>
  <conditionalFormatting sqref="E39:F39">
    <cfRule type="containsBlanks" dxfId="9" priority="2">
      <formula>LEN(TRIM(E39))=0</formula>
    </cfRule>
  </conditionalFormatting>
  <conditionalFormatting sqref="H39 J39">
    <cfRule type="containsBlanks" dxfId="8" priority="1">
      <formula>LEN(TRIM(H39))=0</formula>
    </cfRule>
  </conditionalFormatting>
  <dataValidations count="13">
    <dataValidation type="list" allowBlank="1" showInputMessage="1" showErrorMessage="1" sqref="B4:B14 B21:B28">
      <formula1>"O,N"</formula1>
    </dataValidation>
    <dataValidation type="custom" errorStyle="information" operator="equal" showInputMessage="1" showErrorMessage="1" sqref="C4:C14 C21:C28">
      <formula1>B4="O"</formula1>
    </dataValidation>
    <dataValidation type="custom" errorStyle="information" operator="equal" showInputMessage="1" showErrorMessage="1" sqref="D4:D14 D21:D28">
      <formula1>B4="O"</formula1>
    </dataValidation>
    <dataValidation type="custom" errorStyle="information" operator="equal" showInputMessage="1" showErrorMessage="1" sqref="E4:E14 E21:E28">
      <formula1>B4="O"</formula1>
    </dataValidation>
    <dataValidation type="custom" errorStyle="information" operator="equal" showInputMessage="1" showErrorMessage="1" sqref="H4:H14 H21:H28">
      <formula1>B4="O"</formula1>
    </dataValidation>
    <dataValidation type="custom" errorStyle="information" operator="equal" showInputMessage="1" showErrorMessage="1" sqref="F4:F14 F21:G27 F28:G28">
      <formula1>B4="O"</formula1>
    </dataValidation>
    <dataValidation type="custom" errorStyle="information" operator="equal" showInputMessage="1" showErrorMessage="1" sqref="I21:I27 I28">
      <formula1>B21="O"</formula1>
    </dataValidation>
    <dataValidation type="list" showInputMessage="1" showErrorMessage="1" sqref="D37">
      <formula1>"O,N"</formula1>
    </dataValidation>
    <dataValidation type="custom" allowBlank="1" showInputMessage="1" showErrorMessage="1" error="Cellulle Non Accessible" sqref="D32">
      <formula1>I29=0</formula1>
    </dataValidation>
    <dataValidation type="custom" showInputMessage="1" showErrorMessage="1" error="Non Accessible" sqref="E39">
      <formula1>D37="O"</formula1>
    </dataValidation>
    <dataValidation type="list" allowBlank="1" showInputMessage="1" showErrorMessage="1" sqref="F39">
      <formula1>"J5,J6,J7,Hebdo,Bi-Hebdo, M,Bi-M,Trim,Sem,An"</formula1>
    </dataValidation>
    <dataValidation type="custom" errorStyle="information" operator="equal" showInputMessage="1" showErrorMessage="1" sqref="L4:L14">
      <formula1>B4="O"</formula1>
    </dataValidation>
    <dataValidation type="custom" errorStyle="information" operator="equal" showInputMessage="1" showErrorMessage="1" sqref="M4:M14">
      <formula1>B4="O"</formula1>
    </dataValidation>
  </dataValidations>
  <pageMargins left="0.7" right="0.7" top="0.75" bottom="0.75" header="0.3" footer="0.3"/>
  <pageSetup scale="69" orientation="portrait" verticalDpi="0" r:id="rId1"/>
  <headerFooter>
    <oddFooter>&amp;CCopyright Axoleo;a.callebout@axoleo.fr &amp;D</oddFooter>
  </headerFooter>
  <ignoredErrors>
    <ignoredError sqref="E31:G31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E3"/>
  <sheetViews>
    <sheetView zoomScaleNormal="100" workbookViewId="0">
      <selection activeCell="B3" sqref="B3"/>
    </sheetView>
  </sheetViews>
  <sheetFormatPr baseColWidth="10" defaultRowHeight="11.25" x14ac:dyDescent="0.2"/>
  <cols>
    <col min="1" max="1" width="28.83203125" bestFit="1" customWidth="1"/>
    <col min="4" max="4" width="14.83203125" customWidth="1"/>
    <col min="5" max="5" width="15.6640625" customWidth="1"/>
    <col min="667" max="667" width="21.5" bestFit="1" customWidth="1"/>
    <col min="670" max="670" width="14.1640625" customWidth="1"/>
    <col min="671" max="671" width="15.6640625" bestFit="1" customWidth="1"/>
  </cols>
  <sheetData>
    <row r="1" spans="1:5" ht="12" thickBot="1" x14ac:dyDescent="0.25"/>
    <row r="2" spans="1:5" ht="45.75" thickBot="1" x14ac:dyDescent="0.25">
      <c r="B2" s="120" t="s">
        <v>46</v>
      </c>
      <c r="C2" s="95" t="s">
        <v>94</v>
      </c>
      <c r="D2" s="95" t="s">
        <v>92</v>
      </c>
      <c r="E2" s="96" t="s">
        <v>93</v>
      </c>
    </row>
    <row r="3" spans="1:5" ht="19.5" customHeight="1" thickBot="1" x14ac:dyDescent="0.25">
      <c r="A3" s="125" t="s">
        <v>91</v>
      </c>
      <c r="B3" s="155"/>
      <c r="C3" s="123"/>
      <c r="D3" s="89">
        <f>IF(B3="O",('Moyenne de rendement nettoyage'!U80*'Tableau de calcul de Taux Hor'!G9*'Couts Fixes Spécifiques'!C3),0)</f>
        <v>0</v>
      </c>
      <c r="E3" s="124">
        <f>IF(B3="O",('Moyenne de rendement nettoyage'!W80*'Tableau de calcul de Taux Hor'!G9*'Couts Fixes Spécifiques'!C3),0)</f>
        <v>0</v>
      </c>
    </row>
  </sheetData>
  <sheetProtection password="DDB7" sheet="1" objects="1" scenarios="1" selectLockedCells="1"/>
  <conditionalFormatting sqref="B3">
    <cfRule type="containsBlanks" dxfId="7" priority="2">
      <formula>LEN(TRIM(B3))=0</formula>
    </cfRule>
    <cfRule type="containsText" dxfId="6" priority="3" operator="containsText" text="&quot;&quot;">
      <formula>NOT(ISERROR(SEARCH("""""",B3)))</formula>
    </cfRule>
    <cfRule type="dataBar" priority="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{6F463A4B-F522-4D41-B096-7E9DA4265914}</x14:id>
        </ext>
      </extLst>
    </cfRule>
  </conditionalFormatting>
  <conditionalFormatting sqref="C3">
    <cfRule type="containsBlanks" dxfId="5" priority="1">
      <formula>LEN(TRIM(C3))=0</formula>
    </cfRule>
  </conditionalFormatting>
  <dataValidations count="2">
    <dataValidation type="list" showInputMessage="1" showErrorMessage="1" sqref="B3">
      <formula1>"O,N"</formula1>
    </dataValidation>
    <dataValidation type="custom" showInputMessage="1" showErrorMessage="1" sqref="C3">
      <formula1>B3="O"</formula1>
    </dataValidation>
  </dataValidations>
  <pageMargins left="0.7" right="0.7" top="0.75" bottom="0.75" header="0.3" footer="0.3"/>
  <pageSetup orientation="portrait" verticalDpi="0" r:id="rId1"/>
  <headerFooter>
    <oddFooter>&amp;CCopyright Axoleo;a.callebout@axoleo.fr &amp;D</oddFooter>
  </headerFooter>
  <colBreaks count="1" manualBreakCount="1">
    <brk id="660" max="2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F463A4B-F522-4D41-B096-7E9DA426591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  <pageSetUpPr fitToPage="1"/>
  </sheetPr>
  <dimension ref="B2:M28"/>
  <sheetViews>
    <sheetView tabSelected="1" zoomScaleNormal="100" workbookViewId="0">
      <selection activeCell="I18" sqref="I18"/>
    </sheetView>
  </sheetViews>
  <sheetFormatPr baseColWidth="10" defaultRowHeight="11.25" x14ac:dyDescent="0.2"/>
  <cols>
    <col min="2" max="2" width="26.6640625" bestFit="1" customWidth="1"/>
    <col min="3" max="3" width="7" bestFit="1" customWidth="1"/>
    <col min="4" max="4" width="18" bestFit="1" customWidth="1"/>
    <col min="5" max="5" width="5.5" bestFit="1" customWidth="1"/>
    <col min="6" max="6" width="12.33203125" bestFit="1" customWidth="1"/>
    <col min="7" max="7" width="5.5" bestFit="1" customWidth="1"/>
    <col min="8" max="8" width="26.33203125" bestFit="1" customWidth="1"/>
    <col min="9" max="9" width="8" bestFit="1" customWidth="1"/>
    <col min="10" max="10" width="18" bestFit="1" customWidth="1"/>
    <col min="11" max="11" width="7.33203125" bestFit="1" customWidth="1"/>
    <col min="12" max="12" width="13.83203125" bestFit="1" customWidth="1"/>
    <col min="13" max="13" width="7.33203125" bestFit="1" customWidth="1"/>
  </cols>
  <sheetData>
    <row r="2" spans="2:13" ht="12" thickBot="1" x14ac:dyDescent="0.25"/>
    <row r="3" spans="2:13" ht="15.75" thickBot="1" x14ac:dyDescent="0.3">
      <c r="D3" s="201" t="s">
        <v>95</v>
      </c>
      <c r="E3" s="202"/>
      <c r="F3" s="202"/>
      <c r="G3" s="202"/>
      <c r="H3" s="202"/>
      <c r="I3" s="202"/>
      <c r="J3" s="202"/>
      <c r="K3" s="202"/>
      <c r="L3" s="202"/>
      <c r="M3" s="203"/>
    </row>
    <row r="4" spans="2:13" s="13" customFormat="1" ht="12" thickBot="1" x14ac:dyDescent="0.25">
      <c r="D4" s="199" t="s">
        <v>176</v>
      </c>
      <c r="E4" s="181"/>
      <c r="F4" s="200"/>
      <c r="J4" s="199" t="s">
        <v>97</v>
      </c>
      <c r="K4" s="181"/>
      <c r="L4" s="200"/>
    </row>
    <row r="5" spans="2:13" s="13" customFormat="1" ht="34.5" thickBot="1" x14ac:dyDescent="0.25">
      <c r="D5" s="101" t="s">
        <v>96</v>
      </c>
      <c r="F5" s="101" t="s">
        <v>113</v>
      </c>
      <c r="J5" s="101" t="s">
        <v>96</v>
      </c>
      <c r="L5" s="101" t="s">
        <v>113</v>
      </c>
    </row>
    <row r="6" spans="2:13" s="13" customFormat="1" ht="12" thickBot="1" x14ac:dyDescent="0.25">
      <c r="B6" s="126" t="s">
        <v>101</v>
      </c>
      <c r="C6" s="10"/>
      <c r="H6" s="126" t="s">
        <v>101</v>
      </c>
      <c r="I6" s="10"/>
    </row>
    <row r="7" spans="2:13" x14ac:dyDescent="0.2">
      <c r="B7" s="127" t="s">
        <v>98</v>
      </c>
      <c r="D7" s="135">
        <f ca="1">'Moyenne de rendement nettoyage'!U80</f>
        <v>0</v>
      </c>
      <c r="E7" s="8"/>
      <c r="F7" s="135">
        <f ca="1">'Moyenne de rendement nettoyage'!W80</f>
        <v>0</v>
      </c>
      <c r="G7" s="8"/>
      <c r="H7" s="127" t="s">
        <v>98</v>
      </c>
      <c r="J7" s="135">
        <f ca="1">D7</f>
        <v>0</v>
      </c>
      <c r="K7" s="8"/>
      <c r="L7" s="135">
        <f ca="1">F7</f>
        <v>0</v>
      </c>
    </row>
    <row r="8" spans="2:13" x14ac:dyDescent="0.2">
      <c r="B8" s="127" t="s">
        <v>99</v>
      </c>
      <c r="D8" s="136">
        <f>'Tableau de calcul de Taux Hor'!G9</f>
        <v>0</v>
      </c>
      <c r="E8" s="8"/>
      <c r="F8" s="136">
        <f>D8</f>
        <v>0</v>
      </c>
      <c r="G8" s="8"/>
      <c r="H8" s="127" t="s">
        <v>99</v>
      </c>
      <c r="J8" s="136">
        <f>F8</f>
        <v>0</v>
      </c>
      <c r="K8" s="8"/>
      <c r="L8" s="136">
        <f>J8</f>
        <v>0</v>
      </c>
    </row>
    <row r="9" spans="2:13" ht="12" thickBot="1" x14ac:dyDescent="0.25">
      <c r="B9" s="127" t="s">
        <v>103</v>
      </c>
      <c r="D9" s="137">
        <f ca="1">D7*D8</f>
        <v>0</v>
      </c>
      <c r="E9" s="1"/>
      <c r="F9" s="137">
        <f ca="1">F7*F8</f>
        <v>0</v>
      </c>
      <c r="G9" s="1"/>
      <c r="H9" s="127" t="s">
        <v>103</v>
      </c>
      <c r="J9" s="137">
        <f ca="1">J7*J8</f>
        <v>0</v>
      </c>
      <c r="K9" s="1"/>
      <c r="L9" s="137">
        <f ca="1">L7*L8</f>
        <v>0</v>
      </c>
    </row>
    <row r="10" spans="2:13" ht="12" thickBot="1" x14ac:dyDescent="0.25">
      <c r="B10" s="128" t="s">
        <v>100</v>
      </c>
      <c r="C10" s="11"/>
      <c r="D10" s="8"/>
      <c r="E10" s="8"/>
      <c r="H10" s="128" t="s">
        <v>100</v>
      </c>
      <c r="I10" s="11"/>
    </row>
    <row r="11" spans="2:13" ht="12" thickBot="1" x14ac:dyDescent="0.25">
      <c r="B11" s="127" t="s">
        <v>90</v>
      </c>
      <c r="D11" s="138">
        <f ca="1">'Couts Variables'!J42</f>
        <v>0</v>
      </c>
      <c r="E11" s="8"/>
      <c r="F11" s="138">
        <f ca="1">'Couts Variables'!K42</f>
        <v>0</v>
      </c>
      <c r="G11" s="8"/>
      <c r="H11" s="127" t="s">
        <v>90</v>
      </c>
      <c r="J11" s="138">
        <f ca="1">D11</f>
        <v>0</v>
      </c>
      <c r="K11" s="8"/>
      <c r="L11" s="138">
        <f ca="1">F11</f>
        <v>0</v>
      </c>
    </row>
    <row r="12" spans="2:13" ht="12" thickBot="1" x14ac:dyDescent="0.25">
      <c r="B12" s="128" t="s">
        <v>104</v>
      </c>
      <c r="C12" s="11"/>
      <c r="H12" s="128" t="s">
        <v>104</v>
      </c>
      <c r="I12" s="11"/>
    </row>
    <row r="13" spans="2:13" x14ac:dyDescent="0.2">
      <c r="B13" s="127" t="s">
        <v>105</v>
      </c>
      <c r="D13" s="135">
        <f>'Couts Fixes Spécifiques'!D3</f>
        <v>0</v>
      </c>
      <c r="E13" s="8"/>
      <c r="F13" s="135">
        <f>'Couts Fixes Spécifiques'!E3</f>
        <v>0</v>
      </c>
      <c r="G13" s="8"/>
      <c r="H13" s="127" t="s">
        <v>105</v>
      </c>
      <c r="J13" s="135">
        <f>D13</f>
        <v>0</v>
      </c>
      <c r="K13" s="8"/>
      <c r="L13" s="135">
        <f>F13</f>
        <v>0</v>
      </c>
    </row>
    <row r="14" spans="2:13" ht="12" thickBot="1" x14ac:dyDescent="0.25">
      <c r="B14" s="128" t="s">
        <v>106</v>
      </c>
      <c r="C14" s="11"/>
      <c r="D14" s="144">
        <f ca="1">+D9+D11+D13</f>
        <v>0</v>
      </c>
      <c r="E14" s="12"/>
      <c r="F14" s="144">
        <f ca="1">+F9+F11+F13</f>
        <v>0</v>
      </c>
      <c r="G14" s="12"/>
      <c r="H14" s="131" t="s">
        <v>106</v>
      </c>
      <c r="I14" s="11"/>
      <c r="J14" s="133">
        <f ca="1">+J9+J11+J13</f>
        <v>0</v>
      </c>
      <c r="K14" s="12"/>
      <c r="L14" s="133">
        <f ca="1">+L9+L11+L13</f>
        <v>0</v>
      </c>
    </row>
    <row r="15" spans="2:13" ht="12" thickBot="1" x14ac:dyDescent="0.25">
      <c r="B15" s="127" t="s">
        <v>107</v>
      </c>
      <c r="C15" s="130"/>
      <c r="D15" s="136">
        <f ca="1">D14/(100%-$C$15)-D14</f>
        <v>0</v>
      </c>
      <c r="E15" s="8"/>
      <c r="F15" s="136">
        <f ca="1">F14/(100%-$C$15)-F14</f>
        <v>0</v>
      </c>
      <c r="G15" s="8"/>
    </row>
    <row r="16" spans="2:13" ht="12" thickBot="1" x14ac:dyDescent="0.25">
      <c r="B16" s="128" t="s">
        <v>108</v>
      </c>
      <c r="D16" s="144">
        <f ca="1">D14+D15</f>
        <v>0</v>
      </c>
      <c r="E16" s="12"/>
      <c r="F16" s="144">
        <f ca="1">F14+F15</f>
        <v>0</v>
      </c>
      <c r="G16" s="12"/>
      <c r="H16" s="12"/>
      <c r="I16" s="12"/>
    </row>
    <row r="17" spans="2:13" ht="12" thickBot="1" x14ac:dyDescent="0.25">
      <c r="B17" s="127" t="s">
        <v>109</v>
      </c>
      <c r="C17" s="130"/>
      <c r="D17" s="136">
        <f ca="1">D16*C17</f>
        <v>0</v>
      </c>
      <c r="E17" s="8"/>
      <c r="F17" s="136">
        <f ca="1">F16*C17</f>
        <v>0</v>
      </c>
      <c r="G17" s="8"/>
      <c r="H17" s="139" t="s">
        <v>109</v>
      </c>
      <c r="I17" s="140">
        <f>C17</f>
        <v>0</v>
      </c>
      <c r="J17" s="141">
        <f ca="1">J14*I17</f>
        <v>0</v>
      </c>
      <c r="K17" s="8"/>
      <c r="L17" s="135">
        <f ca="1">L14*I17</f>
        <v>0</v>
      </c>
    </row>
    <row r="18" spans="2:13" ht="12" thickBot="1" x14ac:dyDescent="0.25">
      <c r="B18" s="128" t="s">
        <v>110</v>
      </c>
      <c r="D18" s="144">
        <f ca="1">D16+D17</f>
        <v>0</v>
      </c>
      <c r="E18" s="12"/>
      <c r="F18" s="144">
        <f ca="1">F16+F17</f>
        <v>0</v>
      </c>
      <c r="G18" s="12"/>
      <c r="H18" s="142" t="s">
        <v>112</v>
      </c>
      <c r="I18" s="143"/>
      <c r="J18" s="69">
        <f ca="1">+J7*I18</f>
        <v>0</v>
      </c>
      <c r="K18" s="8"/>
      <c r="L18" s="137">
        <f ca="1">L7*I18</f>
        <v>0</v>
      </c>
    </row>
    <row r="19" spans="2:13" ht="12" thickBot="1" x14ac:dyDescent="0.25">
      <c r="B19" s="129" t="s">
        <v>111</v>
      </c>
      <c r="D19" s="137">
        <f ca="1">IF(D18=0,0,D18/D7)</f>
        <v>0</v>
      </c>
      <c r="E19" s="1"/>
      <c r="F19" s="137">
        <f ca="1">IF(F18=0,0,F18/F7)</f>
        <v>0</v>
      </c>
      <c r="G19" s="1"/>
    </row>
    <row r="20" spans="2:13" ht="12" thickBot="1" x14ac:dyDescent="0.25"/>
    <row r="21" spans="2:13" x14ac:dyDescent="0.2">
      <c r="B21" s="132" t="s">
        <v>115</v>
      </c>
      <c r="D21" s="146">
        <f ca="1">D18</f>
        <v>0</v>
      </c>
      <c r="E21" s="30">
        <f ca="1">IF(D18=0,0,D21/D18)</f>
        <v>0</v>
      </c>
      <c r="F21" s="147">
        <f ca="1">F18</f>
        <v>0</v>
      </c>
      <c r="G21" s="148">
        <f ca="1">IF(F18=0,0,F21/F18)</f>
        <v>0</v>
      </c>
      <c r="H21" s="132" t="s">
        <v>115</v>
      </c>
      <c r="J21" s="146">
        <f ca="1">J18</f>
        <v>0</v>
      </c>
      <c r="K21" s="30">
        <f ca="1">IF(J18=0,0,J21/J18)</f>
        <v>0</v>
      </c>
      <c r="L21" s="147">
        <f ca="1">L18</f>
        <v>0</v>
      </c>
      <c r="M21" s="148">
        <f ca="1">IF(L18=0,0,L21/L18)</f>
        <v>0</v>
      </c>
    </row>
    <row r="22" spans="2:13" x14ac:dyDescent="0.2">
      <c r="B22" s="127" t="s">
        <v>100</v>
      </c>
      <c r="D22" s="149">
        <f ca="1">D9+D11</f>
        <v>0</v>
      </c>
      <c r="E22" s="26">
        <f ca="1">IF(D18=0,0,D22/D18)</f>
        <v>0</v>
      </c>
      <c r="F22" s="19">
        <f ca="1">F9+F11</f>
        <v>0</v>
      </c>
      <c r="G22" s="150">
        <f ca="1">IF(F18=0,0,F22/F18)</f>
        <v>0</v>
      </c>
      <c r="H22" s="127" t="s">
        <v>100</v>
      </c>
      <c r="J22" s="149">
        <f ca="1">J9+J11</f>
        <v>0</v>
      </c>
      <c r="K22" s="26">
        <f ca="1">IF(J18=0,0,J22/J18)</f>
        <v>0</v>
      </c>
      <c r="L22" s="19">
        <f ca="1">L9+L11</f>
        <v>0</v>
      </c>
      <c r="M22" s="150">
        <f ca="1">IF(L18=0,0,L22/L18)</f>
        <v>0</v>
      </c>
    </row>
    <row r="23" spans="2:13" x14ac:dyDescent="0.2">
      <c r="B23" s="127" t="s">
        <v>117</v>
      </c>
      <c r="D23" s="149">
        <f ca="1">D21-D22</f>
        <v>0</v>
      </c>
      <c r="E23" s="134">
        <f ca="1">IF(D23=0,0,D23/D21)</f>
        <v>0</v>
      </c>
      <c r="F23" s="19">
        <f ca="1">F21-F22</f>
        <v>0</v>
      </c>
      <c r="G23" s="151">
        <f ca="1">IF(F23=0,0,F23/F21)</f>
        <v>0</v>
      </c>
      <c r="H23" s="127" t="s">
        <v>117</v>
      </c>
      <c r="J23" s="149">
        <f ca="1">J21-J22</f>
        <v>0</v>
      </c>
      <c r="K23" s="134">
        <f ca="1">IF(J23=0,0,J23/J21)</f>
        <v>0</v>
      </c>
      <c r="L23" s="19">
        <f ca="1">L21-L22</f>
        <v>0</v>
      </c>
      <c r="M23" s="151">
        <f ca="1">IF(L23=0,0,L23/L21)</f>
        <v>0</v>
      </c>
    </row>
    <row r="24" spans="2:13" ht="12" thickBot="1" x14ac:dyDescent="0.25">
      <c r="B24" s="127" t="s">
        <v>118</v>
      </c>
      <c r="D24" s="71">
        <f ca="1">D13+D17</f>
        <v>0</v>
      </c>
      <c r="E24" s="26">
        <f ca="1">IF(D24=0,0,D24/D21)</f>
        <v>0</v>
      </c>
      <c r="F24" s="18">
        <f ca="1">F13+F17</f>
        <v>0</v>
      </c>
      <c r="G24" s="150">
        <f ca="1">IF(F24=0,0,F24/F21)</f>
        <v>0</v>
      </c>
      <c r="H24" s="145" t="s">
        <v>118</v>
      </c>
      <c r="J24" s="71">
        <f ca="1">J13+J17</f>
        <v>0</v>
      </c>
      <c r="K24" s="26">
        <f ca="1">IF(J24=0,0,J24/J21)</f>
        <v>0</v>
      </c>
      <c r="L24" s="18">
        <f ca="1">L13+L17</f>
        <v>0</v>
      </c>
      <c r="M24" s="150">
        <f ca="1">IF(L24=0,0,L24/L21)</f>
        <v>0</v>
      </c>
    </row>
    <row r="25" spans="2:13" ht="12" thickBot="1" x14ac:dyDescent="0.25">
      <c r="B25" s="145" t="s">
        <v>114</v>
      </c>
      <c r="D25" s="152">
        <f ca="1">D23-D24</f>
        <v>0</v>
      </c>
      <c r="E25" s="153">
        <f ca="1">IF(D25=0,0,D25/D21)</f>
        <v>0</v>
      </c>
      <c r="F25" s="90">
        <f ca="1">F23-F24</f>
        <v>0</v>
      </c>
      <c r="G25" s="154">
        <f ca="1">IF(F25=0,0,F25/F21)</f>
        <v>0</v>
      </c>
      <c r="J25" s="152">
        <f ca="1">J23-J24</f>
        <v>0</v>
      </c>
      <c r="K25" s="153">
        <f ca="1">IF(J25=0,0,J25/J21)</f>
        <v>0</v>
      </c>
      <c r="L25" s="90">
        <f ca="1">L23-L24</f>
        <v>0</v>
      </c>
      <c r="M25" s="154">
        <f ca="1">IF(L25=0,0,L25/L21)</f>
        <v>0</v>
      </c>
    </row>
    <row r="26" spans="2:13" ht="12" thickBot="1" x14ac:dyDescent="0.25"/>
    <row r="27" spans="2:13" x14ac:dyDescent="0.2">
      <c r="B27" s="132" t="s">
        <v>116</v>
      </c>
      <c r="D27" s="135">
        <f ca="1">D21*(E22+E24)</f>
        <v>0</v>
      </c>
      <c r="F27" s="135">
        <f ca="1">F21*(G22+G24)</f>
        <v>0</v>
      </c>
      <c r="J27" s="135">
        <f ca="1">J21*(K22+K24)</f>
        <v>0</v>
      </c>
      <c r="L27" s="135">
        <f ca="1">L21*(M22+M24)</f>
        <v>0</v>
      </c>
    </row>
    <row r="28" spans="2:13" ht="12" thickBot="1" x14ac:dyDescent="0.25">
      <c r="B28" s="145" t="s">
        <v>119</v>
      </c>
      <c r="D28" s="137">
        <f ca="1">IF(D27=0,0,D27/D7)</f>
        <v>0</v>
      </c>
      <c r="F28" s="137">
        <f ca="1">IF(F27=0,0,F27/F7)</f>
        <v>0</v>
      </c>
      <c r="J28" s="137">
        <f ca="1">IF(J27=0,0,J27/J7)</f>
        <v>0</v>
      </c>
      <c r="L28" s="137">
        <f ca="1">IF(L27=0,0,L27/L7)</f>
        <v>0</v>
      </c>
    </row>
  </sheetData>
  <sheetProtection password="DDB7" sheet="1" objects="1" scenarios="1" formatCells="0" formatColumns="0" formatRows="0" selectLockedCells="1"/>
  <mergeCells count="3">
    <mergeCell ref="D4:F4"/>
    <mergeCell ref="J4:L4"/>
    <mergeCell ref="D3:M3"/>
  </mergeCells>
  <conditionalFormatting sqref="E23">
    <cfRule type="expression" dxfId="4" priority="8" stopIfTrue="1">
      <formula>$D$23&gt;0</formula>
    </cfRule>
  </conditionalFormatting>
  <conditionalFormatting sqref="G23">
    <cfRule type="expression" dxfId="3" priority="4" stopIfTrue="1">
      <formula>$F$23&gt;0</formula>
    </cfRule>
  </conditionalFormatting>
  <conditionalFormatting sqref="K23">
    <cfRule type="expression" dxfId="2" priority="3" stopIfTrue="1">
      <formula>$J$23&gt;0</formula>
    </cfRule>
  </conditionalFormatting>
  <conditionalFormatting sqref="M23">
    <cfRule type="expression" dxfId="1" priority="2" stopIfTrue="1">
      <formula>$L$23&gt;0</formula>
    </cfRule>
  </conditionalFormatting>
  <conditionalFormatting sqref="C15 C17 I18">
    <cfRule type="containsBlanks" dxfId="0" priority="1">
      <formula>LEN(TRIM(C15))=0</formula>
    </cfRule>
  </conditionalFormatting>
  <pageMargins left="0.7" right="0.7" top="0.75" bottom="0.75" header="0.3" footer="0.3"/>
  <pageSetup orientation="landscape" verticalDpi="0" r:id="rId1"/>
  <headerFooter>
    <oddFooter>&amp;CCopyright Axoleo;a.callebout@axoleo.fr &amp;D&amp;RPage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Cadencier</vt:lpstr>
      <vt:lpstr>Grille des salaires</vt:lpstr>
      <vt:lpstr>Moyenne de rendement nettoyage</vt:lpstr>
      <vt:lpstr>Tableau de calcul de Taux Hor</vt:lpstr>
      <vt:lpstr>Couts Variables</vt:lpstr>
      <vt:lpstr>Couts Fixes Spécifiques</vt:lpstr>
      <vt:lpstr>Calcul CA</vt:lpstr>
      <vt:lpstr>Q</vt:lpstr>
      <vt:lpstr>'Moyenne de rendement nettoyage'!Zone_d_impression</vt:lpstr>
    </vt:vector>
  </TitlesOfParts>
  <Manager>a.callebout@axoleo.fr</Manager>
  <Company>AXOLEO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Calculateur Nettoyage Industriel</dc:title>
  <dc:creator>Axoleo;a.callebout@axoleo.fr</dc:creator>
  <cp:lastModifiedBy>Axoleo</cp:lastModifiedBy>
  <cp:lastPrinted>2011-07-16T16:53:28Z</cp:lastPrinted>
  <dcterms:created xsi:type="dcterms:W3CDTF">2011-07-07T09:34:18Z</dcterms:created>
  <dcterms:modified xsi:type="dcterms:W3CDTF">2011-07-19T12:57:07Z</dcterms:modified>
  <cp:category>Etude de Revient et de Prix</cp:category>
</cp:coreProperties>
</file>