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axim\Documents\budget\"/>
    </mc:Choice>
  </mc:AlternateContent>
  <xr:revisionPtr revIDLastSave="0" documentId="13_ncr:1_{C9CDA004-2FC2-466B-A7B4-71119715E775}" xr6:coauthVersionLast="47" xr6:coauthVersionMax="47" xr10:uidLastSave="{00000000-0000-0000-0000-000000000000}"/>
  <bookViews>
    <workbookView xWindow="14565" yWindow="1335" windowWidth="25650" windowHeight="16965" activeTab="2" xr2:uid="{4578FBFC-9AB4-4346-8A42-2927E2682164}"/>
  </bookViews>
  <sheets>
    <sheet name="Dashboard" sheetId="1" r:id="rId1"/>
    <sheet name="Comptes" sheetId="6" r:id="rId2"/>
    <sheet name="Transaction" sheetId="2" r:id="rId3"/>
    <sheet name="Budget" sheetId="3" r:id="rId4"/>
    <sheet name="PEA" sheetId="4" r:id="rId5"/>
    <sheet name="Données" sheetId="5" r:id="rId6"/>
  </sheets>
  <definedNames>
    <definedName name="_xleta.IFERROR" hidden="1" xlm="1">#NAME?</definedName>
    <definedName name="_xleta.TODAY" hidden="1" xlm="1">#NAME?</definedName>
    <definedName name="Credit">Credit_budget[Credit]</definedName>
    <definedName name="Depense">Depense_budget[Depense]</definedName>
    <definedName name="Epargne">Epargne_budget[Epargnes]</definedName>
    <definedName name="Facture">Facture_budget[Facture]</definedName>
    <definedName name="Revenue">Revenue_budget[Revenu]</definedName>
    <definedName name="TypeP">Données!$B$3:$B$4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O7" i="3"/>
  <c r="C26" i="1" a="1"/>
  <c r="C26" i="1" s="1"/>
  <c r="O55" i="3"/>
  <c r="T29" i="1" s="1"/>
  <c r="S29" i="1" a="1"/>
  <c r="S29" i="1" s="1"/>
  <c r="S27" i="1" a="1"/>
  <c r="S27" i="1" s="1"/>
  <c r="S28" i="1" a="1"/>
  <c r="S28" i="1" s="1"/>
  <c r="H36" i="1"/>
  <c r="T27" i="1"/>
  <c r="T28" i="1"/>
  <c r="T30" i="1"/>
  <c r="T31" i="1"/>
  <c r="T32" i="1"/>
  <c r="T33" i="1"/>
  <c r="T34" i="1"/>
  <c r="T35" i="1"/>
  <c r="T36" i="1"/>
  <c r="P27" i="1"/>
  <c r="P28" i="1"/>
  <c r="P29" i="1"/>
  <c r="O27" i="1" a="1"/>
  <c r="O27" i="1" s="1"/>
  <c r="O28" i="1" a="1"/>
  <c r="O28" i="1" s="1"/>
  <c r="O29" i="1" a="1"/>
  <c r="O29" i="1" s="1"/>
  <c r="O30" i="1" a="1"/>
  <c r="O30" i="1" s="1"/>
  <c r="O31" i="1" a="1"/>
  <c r="O31" i="1" s="1"/>
  <c r="O32" i="1" a="1"/>
  <c r="O32" i="1" s="1"/>
  <c r="O33" i="1" a="1"/>
  <c r="O33" i="1" s="1"/>
  <c r="O34" i="1" a="1"/>
  <c r="O34" i="1" s="1"/>
  <c r="O35" i="1" a="1"/>
  <c r="O35" i="1" s="1"/>
  <c r="O36" i="1" a="1"/>
  <c r="O3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L27" i="1"/>
  <c r="L29" i="1"/>
  <c r="L30" i="1"/>
  <c r="L31" i="1"/>
  <c r="L32" i="1"/>
  <c r="L33" i="1"/>
  <c r="L34" i="1"/>
  <c r="L35" i="1"/>
  <c r="L36" i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D28" i="1"/>
  <c r="D29" i="1"/>
  <c r="D30" i="1"/>
  <c r="D31" i="1"/>
  <c r="D32" i="1"/>
  <c r="D33" i="1"/>
  <c r="D34" i="1"/>
  <c r="D35" i="1"/>
  <c r="D36" i="1"/>
  <c r="O46" i="3"/>
  <c r="P36" i="1" s="1"/>
  <c r="O45" i="3"/>
  <c r="P35" i="1" s="1"/>
  <c r="S52" i="1"/>
  <c r="S53" i="1"/>
  <c r="S54" i="1"/>
  <c r="S55" i="1"/>
  <c r="S56" i="1"/>
  <c r="S57" i="1"/>
  <c r="S58" i="1"/>
  <c r="S51" i="1"/>
  <c r="T54" i="1"/>
  <c r="T55" i="1"/>
  <c r="T56" i="1"/>
  <c r="T57" i="1"/>
  <c r="T58" i="1"/>
  <c r="S26" i="1" a="1"/>
  <c r="S26" i="1" s="1"/>
  <c r="G26" i="1" a="1"/>
  <c r="G26" i="1" s="1"/>
  <c r="O37" i="3"/>
  <c r="P26" i="1" s="1"/>
  <c r="O39" i="3"/>
  <c r="O44" i="3"/>
  <c r="P33" i="1" s="1"/>
  <c r="O47" i="3"/>
  <c r="P34" i="1" s="1"/>
  <c r="O38" i="3"/>
  <c r="O42" i="3"/>
  <c r="P31" i="1" s="1"/>
  <c r="N48" i="3"/>
  <c r="M48" i="3"/>
  <c r="L48" i="3"/>
  <c r="K48" i="3"/>
  <c r="J48" i="3"/>
  <c r="I48" i="3"/>
  <c r="H48" i="3"/>
  <c r="G48" i="3"/>
  <c r="F48" i="3"/>
  <c r="E48" i="3"/>
  <c r="D48" i="3"/>
  <c r="C48" i="3"/>
  <c r="O43" i="3"/>
  <c r="P32" i="1" s="1"/>
  <c r="O40" i="3"/>
  <c r="O41" i="3"/>
  <c r="P30" i="1" s="1"/>
  <c r="O18" i="3"/>
  <c r="H29" i="1" s="1"/>
  <c r="O53" i="3"/>
  <c r="T51" i="1" s="1"/>
  <c r="O56" i="3"/>
  <c r="T52" i="1" s="1"/>
  <c r="O26" i="1" a="1"/>
  <c r="O26" i="1" s="1"/>
  <c r="K26" i="1" a="1"/>
  <c r="K26" i="1" s="1"/>
  <c r="E28" i="2"/>
  <c r="N57" i="3"/>
  <c r="M57" i="3"/>
  <c r="L57" i="3"/>
  <c r="K57" i="3"/>
  <c r="J57" i="3"/>
  <c r="I57" i="3"/>
  <c r="H57" i="3"/>
  <c r="G57" i="3"/>
  <c r="F57" i="3"/>
  <c r="E57" i="3"/>
  <c r="D57" i="3"/>
  <c r="C57" i="3"/>
  <c r="O54" i="3"/>
  <c r="T53" i="1" s="1"/>
  <c r="N32" i="3"/>
  <c r="M32" i="3"/>
  <c r="L32" i="3"/>
  <c r="K32" i="3"/>
  <c r="J32" i="3"/>
  <c r="I32" i="3"/>
  <c r="H32" i="3"/>
  <c r="G32" i="3"/>
  <c r="F32" i="3"/>
  <c r="E32" i="3"/>
  <c r="D32" i="3"/>
  <c r="C32" i="3"/>
  <c r="O29" i="3"/>
  <c r="L28" i="1" s="1"/>
  <c r="O31" i="3"/>
  <c r="O30" i="3"/>
  <c r="L26" i="1" s="1"/>
  <c r="N24" i="3"/>
  <c r="M24" i="3"/>
  <c r="L24" i="3"/>
  <c r="K24" i="3"/>
  <c r="J24" i="3"/>
  <c r="I24" i="3"/>
  <c r="H24" i="3"/>
  <c r="G24" i="3"/>
  <c r="F24" i="3"/>
  <c r="E24" i="3"/>
  <c r="D24" i="3"/>
  <c r="C24" i="3"/>
  <c r="O23" i="3"/>
  <c r="H35" i="1" s="1"/>
  <c r="O22" i="3"/>
  <c r="H34" i="1" s="1"/>
  <c r="O21" i="3"/>
  <c r="H33" i="1" s="1"/>
  <c r="O20" i="3"/>
  <c r="H32" i="1" s="1"/>
  <c r="O19" i="3"/>
  <c r="H31" i="1" s="1"/>
  <c r="O16" i="3"/>
  <c r="H30" i="1" s="1"/>
  <c r="O15" i="3"/>
  <c r="H28" i="1" s="1"/>
  <c r="O17" i="3"/>
  <c r="H27" i="1" s="1"/>
  <c r="O14" i="3"/>
  <c r="H26" i="1" s="1"/>
  <c r="N9" i="3"/>
  <c r="M9" i="3"/>
  <c r="L9" i="3"/>
  <c r="K9" i="3"/>
  <c r="J9" i="3"/>
  <c r="I9" i="3"/>
  <c r="H9" i="3"/>
  <c r="G9" i="3"/>
  <c r="F9" i="3"/>
  <c r="E9" i="3"/>
  <c r="D9" i="3"/>
  <c r="C9" i="3"/>
  <c r="O8" i="3"/>
  <c r="D27" i="1" s="1"/>
  <c r="O6" i="3"/>
  <c r="D26" i="1" s="1"/>
  <c r="T26" i="1" l="1"/>
  <c r="T37" i="1" s="1"/>
  <c r="C37" i="1"/>
  <c r="H50" i="1" s="1"/>
  <c r="L37" i="1"/>
  <c r="D62" i="1" s="1"/>
  <c r="D37" i="1"/>
  <c r="D45" i="1" s="1"/>
  <c r="K37" i="1"/>
  <c r="H37" i="1"/>
  <c r="S37" i="1"/>
  <c r="P37" i="1"/>
  <c r="D61" i="1" s="1"/>
  <c r="G37" i="1"/>
  <c r="O37" i="1"/>
  <c r="C61" i="1" s="1"/>
  <c r="O48" i="3"/>
  <c r="O9" i="3"/>
  <c r="O32" i="3"/>
  <c r="O57" i="3"/>
  <c r="O24" i="3"/>
  <c r="T45" i="1" l="1"/>
  <c r="D63" i="1"/>
  <c r="H54" i="1"/>
  <c r="C63" i="1"/>
  <c r="H52" i="1"/>
  <c r="C62" i="1"/>
  <c r="H51" i="1"/>
  <c r="C60" i="1"/>
  <c r="H45" i="1"/>
  <c r="D60" i="1"/>
  <c r="O44" i="1"/>
  <c r="H53" i="1"/>
  <c r="G45" i="1"/>
  <c r="C45" i="1"/>
  <c r="S45" i="1"/>
  <c r="C51" i="1"/>
  <c r="C52" i="1"/>
  <c r="P44" i="1"/>
  <c r="P45" i="1" s="1"/>
  <c r="D52" i="1"/>
  <c r="C55" i="1" l="1"/>
  <c r="C56" i="1" s="1"/>
  <c r="C53" i="1"/>
  <c r="O45" i="1"/>
  <c r="D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<sst xmlns="http://schemas.openxmlformats.org/spreadsheetml/2006/main" count="266" uniqueCount="91">
  <si>
    <t>Revenu</t>
  </si>
  <si>
    <t>Janvier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</si>
  <si>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</si>
  <si>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</si>
  <si>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</si>
  <si>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</si>
  <si>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</si>
  <si>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</si>
  <si>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</si>
  <si>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</si>
  <si>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Total</t>
  </si>
  <si>
    <t>Salaire Net</t>
  </si>
  <si>
    <t>Autre revenue</t>
  </si>
  <si>
    <t>Depense</t>
  </si>
  <si>
    <t>Abonnement</t>
  </si>
  <si>
    <t>Animaux</t>
  </si>
  <si>
    <t>Imprevus/Divers</t>
  </si>
  <si>
    <t>Logement</t>
  </si>
  <si>
    <t>Loisirs/Vie sociale</t>
  </si>
  <si>
    <t>Santé</t>
  </si>
  <si>
    <t>Crédit</t>
  </si>
  <si>
    <t>Immobilier</t>
  </si>
  <si>
    <t>Voiture</t>
  </si>
  <si>
    <t>Conso</t>
  </si>
  <si>
    <t>Epargnes</t>
  </si>
  <si>
    <t>Livret A</t>
  </si>
  <si>
    <t>PER</t>
  </si>
  <si>
    <t>PEA</t>
  </si>
  <si>
    <t>Date</t>
  </si>
  <si>
    <t>Catégorie</t>
  </si>
  <si>
    <t>Commentaire</t>
  </si>
  <si>
    <t>Type</t>
  </si>
  <si>
    <t>Montant</t>
  </si>
  <si>
    <t>Liste des transaction</t>
  </si>
  <si>
    <t>Categorie</t>
  </si>
  <si>
    <t>Credit</t>
  </si>
  <si>
    <t>Revenue</t>
  </si>
  <si>
    <t>Réel</t>
  </si>
  <si>
    <t>Budget</t>
  </si>
  <si>
    <t>Epargne</t>
  </si>
  <si>
    <t>Autres Revenue</t>
  </si>
  <si>
    <t>Courses</t>
  </si>
  <si>
    <t>Facture</t>
  </si>
  <si>
    <t>Electricité</t>
  </si>
  <si>
    <t>Eau</t>
  </si>
  <si>
    <t>Loyer</t>
  </si>
  <si>
    <t>Internet</t>
  </si>
  <si>
    <t>Téléphone</t>
  </si>
  <si>
    <t>Mutuelle</t>
  </si>
  <si>
    <t>Transport/Péages</t>
  </si>
  <si>
    <t>Assurance Hab.</t>
  </si>
  <si>
    <t>Assurance Voiture</t>
  </si>
  <si>
    <t>Banque</t>
  </si>
  <si>
    <t>Shopping</t>
  </si>
  <si>
    <t>Février</t>
  </si>
  <si>
    <t>Dépense</t>
  </si>
  <si>
    <t>Solde</t>
  </si>
  <si>
    <t>Mai</t>
  </si>
  <si>
    <t>Autres revenue</t>
  </si>
  <si>
    <t>Décembre</t>
  </si>
  <si>
    <t>% dépense de revenu</t>
  </si>
  <si>
    <t>% Reste</t>
  </si>
  <si>
    <t>Variable</t>
  </si>
  <si>
    <t>Spotify</t>
  </si>
  <si>
    <t>Prévoyance</t>
  </si>
  <si>
    <t>EVE Online</t>
  </si>
  <si>
    <t>TotalEnergies- 2 titres</t>
  </si>
  <si>
    <t>S&amp;P 500- FR0011550185 - 6 Titres</t>
  </si>
  <si>
    <t>Virement</t>
  </si>
  <si>
    <t>Nom</t>
  </si>
  <si>
    <t>Quantité</t>
  </si>
  <si>
    <t>Prix unitaire</t>
  </si>
  <si>
    <t>Montant Total</t>
  </si>
  <si>
    <t>Liste Transaction</t>
  </si>
  <si>
    <t>Achat</t>
  </si>
  <si>
    <t>Vente</t>
  </si>
  <si>
    <t>Opération</t>
  </si>
  <si>
    <t>ACTION</t>
  </si>
  <si>
    <t>ETF</t>
  </si>
  <si>
    <t>-</t>
  </si>
  <si>
    <t>Miya  Sushi</t>
  </si>
  <si>
    <t>Nespresso</t>
  </si>
  <si>
    <t>Fleures pour Anna</t>
  </si>
  <si>
    <t>Paypal- Desktronic (avant derniere échéance)</t>
  </si>
  <si>
    <t>Crypto</t>
  </si>
  <si>
    <t>Bitstack</t>
  </si>
  <si>
    <t>PEA Trade Républic</t>
  </si>
  <si>
    <t>/</t>
  </si>
  <si>
    <t>Extra</t>
  </si>
  <si>
    <t>course</t>
  </si>
  <si>
    <t>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</si>
</sst>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Poppins"/>
    </font>
    <font>
      <b/>
      <sz val="11"/>
      <color theme="1"/>
      <name val="Poppins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1"/>
      <color theme="1" tint="0.34998626667073579"/>
      <name val="Comic Sans MS"/>
      <family val="4"/>
    </font>
    <font>
      <sz val="12"/>
      <color theme="1" tint="0.34998626667073579"/>
      <name val="Comic Sans MS"/>
      <family val="4"/>
    </font>
    <font>
      <b/>
      <sz val="11"/>
      <name val="Comic Sans MS"/>
      <family val="4"/>
    </font>
    <font>
      <sz val="11"/>
      <color theme="1"/>
      <name val="Aptos Narrow"/>
      <family val="2"/>
      <scheme val="minor"/>
    </font>
    <font>
      <b/>
      <sz val="12"/>
      <color theme="1"/>
      <name val="Comic Sans MS"/>
      <family val="4"/>
    </font>
    <font>
      <sz val="8"/>
      <color theme="1"/>
      <name val="Poppins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rgb="FFFF0000"/>
      <name val="Poppins"/>
    </font>
    <font>
      <sz val="12"/>
      <name val="Poppins"/>
    </font>
    <font>
      <sz val="11"/>
      <name val="Poppins"/>
    </font>
    <font>
      <sz val="12"/>
      <color theme="1"/>
      <name val="Poppins"/>
    </font>
    <font>
      <i/>
      <sz val="12"/>
      <name val="Poppins"/>
    </font>
    <font>
      <i/>
      <sz val="12"/>
      <name val="Comic Sans MS"/>
      <family val="4"/>
    </font>
    <font>
      <b/>
      <sz val="14"/>
      <color theme="1"/>
      <name val="Poppins"/>
    </font>
    <font>
      <sz val="14"/>
      <color theme="1"/>
      <name val="Poppins"/>
    </font>
    <font>
      <b/>
      <sz val="11"/>
      <name val="Poppins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E3F9EE"/>
        <bgColor indexed="64"/>
      </patternFill>
    </fill>
    <fill>
      <patternFill patternType="solid">
        <fgColor rgb="FFFEF1E8"/>
        <bgColor indexed="64"/>
      </patternFill>
    </fill>
    <fill>
      <patternFill patternType="solid">
        <fgColor rgb="FFFFE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A8B3A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8E8E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12">
    <xf numFmtId="0" fontId="0" fillId="0" borderId="0" xfId="0"/>
    <xf numFmtId="0" fontId="1" fillId="0" borderId="2" xfId="0" applyFont="1" applyBorder="1"/>
    <xf numFmtId="164" fontId="1" fillId="0" borderId="2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3" fillId="3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/>
    <xf numFmtId="44" fontId="0" fillId="0" borderId="0" xfId="0" applyNumberFormat="1"/>
    <xf numFmtId="0" fontId="1" fillId="0" borderId="0" xfId="0" applyFont="1"/>
    <xf numFmtId="44" fontId="2" fillId="0" borderId="0" xfId="1" applyFont="1"/>
    <xf numFmtId="0" fontId="1" fillId="0" borderId="1" xfId="0" applyFont="1" applyBorder="1" applyAlignment="1">
      <alignment vertical="center"/>
    </xf>
    <xf numFmtId="44" fontId="1" fillId="6" borderId="9" xfId="1" applyFont="1" applyFill="1" applyBorder="1"/>
    <xf numFmtId="0" fontId="2" fillId="0" borderId="0" xfId="0" applyFont="1" applyAlignment="1">
      <alignment horizontal="right"/>
    </xf>
    <xf numFmtId="44" fontId="1" fillId="0" borderId="0" xfId="0" applyNumberFormat="1" applyFont="1"/>
    <xf numFmtId="164" fontId="1" fillId="0" borderId="0" xfId="0" applyNumberFormat="1" applyFont="1"/>
    <xf numFmtId="9" fontId="0" fillId="0" borderId="0" xfId="2" applyFont="1"/>
    <xf numFmtId="44" fontId="2" fillId="0" borderId="0" xfId="0" applyNumberFormat="1" applyFont="1"/>
    <xf numFmtId="44" fontId="2" fillId="0" borderId="0" xfId="1" applyFont="1" applyBorder="1"/>
    <xf numFmtId="0" fontId="1" fillId="0" borderId="0" xfId="0" applyFont="1" applyAlignment="1">
      <alignment vertical="center"/>
    </xf>
    <xf numFmtId="44" fontId="1" fillId="0" borderId="9" xfId="1" applyFont="1" applyBorder="1"/>
    <xf numFmtId="0" fontId="14" fillId="7" borderId="8" xfId="0" applyFont="1" applyFill="1" applyBorder="1" applyAlignment="1">
      <alignment vertical="center"/>
    </xf>
    <xf numFmtId="0" fontId="14" fillId="7" borderId="10" xfId="0" applyFont="1" applyFill="1" applyBorder="1" applyAlignment="1">
      <alignment vertical="center"/>
    </xf>
    <xf numFmtId="0" fontId="14" fillId="7" borderId="7" xfId="0" applyFont="1" applyFill="1" applyBorder="1" applyAlignment="1">
      <alignment vertical="center"/>
    </xf>
    <xf numFmtId="0" fontId="14" fillId="8" borderId="6" xfId="0" applyFont="1" applyFill="1" applyBorder="1" applyAlignment="1">
      <alignment vertical="center"/>
    </xf>
    <xf numFmtId="0" fontId="14" fillId="8" borderId="12" xfId="0" applyFont="1" applyFill="1" applyBorder="1" applyAlignment="1">
      <alignment vertical="center"/>
    </xf>
    <xf numFmtId="0" fontId="14" fillId="8" borderId="5" xfId="0" applyFont="1" applyFill="1" applyBorder="1" applyAlignment="1">
      <alignment vertical="center"/>
    </xf>
    <xf numFmtId="0" fontId="14" fillId="8" borderId="8" xfId="0" applyFont="1" applyFill="1" applyBorder="1" applyAlignment="1">
      <alignment vertical="center"/>
    </xf>
    <xf numFmtId="0" fontId="14" fillId="8" borderId="10" xfId="0" applyFont="1" applyFill="1" applyBorder="1" applyAlignment="1">
      <alignment vertical="center"/>
    </xf>
    <xf numFmtId="0" fontId="14" fillId="8" borderId="7" xfId="0" applyFont="1" applyFill="1" applyBorder="1" applyAlignment="1">
      <alignment vertical="center"/>
    </xf>
    <xf numFmtId="0" fontId="14" fillId="10" borderId="8" xfId="0" applyFont="1" applyFill="1" applyBorder="1" applyAlignment="1">
      <alignment vertical="center"/>
    </xf>
    <xf numFmtId="0" fontId="14" fillId="10" borderId="10" xfId="0" applyFont="1" applyFill="1" applyBorder="1" applyAlignment="1">
      <alignment vertical="center"/>
    </xf>
    <xf numFmtId="0" fontId="14" fillId="10" borderId="7" xfId="0" applyFont="1" applyFill="1" applyBorder="1" applyAlignment="1">
      <alignment vertical="center"/>
    </xf>
    <xf numFmtId="9" fontId="1" fillId="0" borderId="0" xfId="2" applyFont="1"/>
    <xf numFmtId="9" fontId="1" fillId="0" borderId="0" xfId="0" applyNumberFormat="1" applyFont="1"/>
    <xf numFmtId="0" fontId="16" fillId="0" borderId="3" xfId="0" applyFont="1" applyBorder="1"/>
    <xf numFmtId="0" fontId="16" fillId="0" borderId="1" xfId="0" applyFont="1" applyBorder="1" applyAlignment="1">
      <alignment vertical="center"/>
    </xf>
    <xf numFmtId="0" fontId="16" fillId="0" borderId="7" xfId="0" applyFont="1" applyBorder="1"/>
    <xf numFmtId="0" fontId="16" fillId="0" borderId="9" xfId="0" applyFont="1" applyBorder="1"/>
    <xf numFmtId="0" fontId="14" fillId="11" borderId="9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44" fontId="1" fillId="4" borderId="9" xfId="1" applyFont="1" applyFill="1" applyBorder="1" applyAlignment="1">
      <alignment vertical="center"/>
    </xf>
    <xf numFmtId="44" fontId="1" fillId="0" borderId="3" xfId="1" applyFont="1" applyBorder="1" applyAlignment="1">
      <alignment vertical="center"/>
    </xf>
    <xf numFmtId="0" fontId="0" fillId="0" borderId="0" xfId="0" applyAlignment="1">
      <alignment vertical="center"/>
    </xf>
    <xf numFmtId="164" fontId="1" fillId="5" borderId="9" xfId="0" applyNumberFormat="1" applyFont="1" applyFill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44" fontId="1" fillId="5" borderId="9" xfId="1" applyFont="1" applyFill="1" applyBorder="1" applyAlignment="1">
      <alignment vertical="center"/>
    </xf>
    <xf numFmtId="44" fontId="1" fillId="6" borderId="9" xfId="1" applyFont="1" applyFill="1" applyBorder="1" applyAlignment="1">
      <alignment vertical="center"/>
    </xf>
    <xf numFmtId="0" fontId="19" fillId="0" borderId="11" xfId="0" applyFont="1" applyBorder="1" applyAlignment="1">
      <alignment horizontal="right"/>
    </xf>
    <xf numFmtId="44" fontId="19" fillId="0" borderId="11" xfId="0" applyNumberFormat="1" applyFont="1" applyBorder="1"/>
    <xf numFmtId="0" fontId="19" fillId="0" borderId="0" xfId="0" applyFont="1" applyAlignment="1">
      <alignment horizontal="right"/>
    </xf>
    <xf numFmtId="44" fontId="19" fillId="0" borderId="0" xfId="1" applyFont="1" applyAlignment="1"/>
    <xf numFmtId="44" fontId="19" fillId="0" borderId="0" xfId="0" applyNumberFormat="1" applyFont="1"/>
    <xf numFmtId="164" fontId="19" fillId="0" borderId="0" xfId="0" applyNumberFormat="1" applyFont="1"/>
    <xf numFmtId="44" fontId="19" fillId="0" borderId="11" xfId="1" applyFont="1" applyBorder="1" applyAlignment="1"/>
    <xf numFmtId="44" fontId="1" fillId="0" borderId="2" xfId="1" applyFont="1" applyBorder="1"/>
    <xf numFmtId="44" fontId="1" fillId="0" borderId="1" xfId="1" applyFont="1" applyBorder="1"/>
    <xf numFmtId="164" fontId="1" fillId="0" borderId="1" xfId="0" applyNumberFormat="1" applyFont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5" fillId="8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" fillId="0" borderId="0" xfId="0" applyFont="1" applyAlignment="1">
      <alignment horizontal="right"/>
    </xf>
    <xf numFmtId="0" fontId="20" fillId="0" borderId="0" xfId="0" applyFont="1"/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12" borderId="0" xfId="0" applyFont="1" applyFill="1" applyAlignment="1">
      <alignment horizontal="center"/>
    </xf>
    <xf numFmtId="165" fontId="21" fillId="12" borderId="0" xfId="0" applyNumberFormat="1" applyFont="1" applyFill="1" applyAlignment="1">
      <alignment horizontal="center" vertical="center"/>
    </xf>
    <xf numFmtId="165" fontId="21" fillId="12" borderId="0" xfId="1" applyNumberFormat="1" applyFont="1" applyFill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/>
    <xf numFmtId="0" fontId="1" fillId="12" borderId="0" xfId="0" applyFont="1" applyFill="1" applyAlignment="1">
      <alignment horizontal="center" vertical="center"/>
    </xf>
    <xf numFmtId="165" fontId="1" fillId="12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0" fontId="15" fillId="12" borderId="0" xfId="0" applyFont="1" applyFill="1" applyAlignment="1">
      <alignment horizontal="center" vertical="center"/>
    </xf>
    <xf numFmtId="14" fontId="15" fillId="12" borderId="0" xfId="0" applyNumberFormat="1" applyFont="1" applyFill="1" applyAlignment="1">
      <alignment horizontal="center" vertical="center"/>
    </xf>
    <xf numFmtId="1" fontId="15" fillId="12" borderId="0" xfId="0" applyNumberFormat="1" applyFont="1" applyFill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3" fillId="3" borderId="16" xfId="0" applyFont="1" applyFill="1" applyBorder="1" applyAlignment="1">
      <alignment horizontal="left" vertical="center"/>
    </xf>
    <xf numFmtId="14" fontId="3" fillId="0" borderId="0" xfId="0" applyNumberFormat="1" applyFont="1"/>
    <xf numFmtId="0" fontId="13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165" fontId="3" fillId="0" borderId="0" xfId="0" applyNumberFormat="1" applyFont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2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E49EDD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00B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5" formatCode="#,##0.00\ &quot;€&quot;"/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medium">
          <color indexed="64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006C92"/>
      <color rgb="FFE49EDD"/>
      <color rgb="FFFA8B3A"/>
      <color rgb="FFD3D3D3"/>
      <color rgb="FFE8E8E8"/>
      <color rgb="FFBF5505"/>
      <color rgb="FFFFAB00"/>
      <color rgb="FF15223C"/>
      <color rgb="FF0000FF"/>
      <color rgb="FFFF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127004164476209"/>
          <c:y val="6.8079922027290449E-2"/>
          <c:w val="0.71780045781222446"/>
          <c:h val="0.8638401559454190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15875" cap="flat"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5EB-42E7-BF13-DDCC45F48817}"/>
              </c:ext>
            </c:extLst>
          </c:dPt>
          <c:dPt>
            <c:idx val="1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5EB-42E7-BF13-DDCC45F48817}"/>
              </c:ext>
            </c:extLst>
          </c:dPt>
          <c:dPt>
            <c:idx val="2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5EB-42E7-BF13-DDCC45F48817}"/>
              </c:ext>
            </c:extLst>
          </c:dPt>
          <c:dPt>
            <c:idx val="3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5EB-42E7-BF13-DDCC45F4881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5EB-42E7-BF13-DDCC45F4881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Dashboard!$G$50:$G$54</c:f>
              <c:strCache>
                <c:ptCount val="5"/>
                <c:pt idx="0">
                  <c:v>Revenu</c:v>
                </c:pt>
                <c:pt idx="1">
                  <c:v>Dépense</c:v>
                </c:pt>
                <c:pt idx="2">
                  <c:v>Crédit</c:v>
                </c:pt>
                <c:pt idx="3">
                  <c:v>Facture</c:v>
                </c:pt>
                <c:pt idx="4">
                  <c:v>Epargne</c:v>
                </c:pt>
              </c:strCache>
            </c:strRef>
          </c:cat>
          <c:val>
            <c:numRef>
              <c:f>Dashboard!$H$50:$H$54</c:f>
              <c:numCache>
                <c:formatCode>_-* #.##000\ [$€-40C]_-;\-* #.##000\ [$€-40C]_-;_-* "-"??\ [$€-40C]_-;_-@_-</c:formatCode>
                <c:ptCount val="5"/>
                <c:pt idx="0" formatCode="_(&quot;€&quot;* #,##0.00_);_(&quot;€&quot;* \(#,##0.00\);_(&quot;€&quot;* &quot;-&quot;??_);_(@_)">
                  <c:v>2316.2799999999997</c:v>
                </c:pt>
                <c:pt idx="1">
                  <c:v>298.75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15.17</c:v>
                </c:pt>
                <c:pt idx="4" formatCode="_(&quot;€&quot;* #,##0.00_);_(&quot;€&quot;* \(#,##0.00\);_(&quot;€&quot;* &quot;-&quot;??_);_(@_)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B-42E7-BF13-DDCC45F48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0"/>
        <c:axId val="139377712"/>
        <c:axId val="139375792"/>
      </c:barChart>
      <c:catAx>
        <c:axId val="139377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oppins" panose="00000500000000000000" pitchFamily="2" charset="0"/>
                <a:ea typeface="+mn-ea"/>
                <a:cs typeface="Poppins" panose="00000500000000000000" pitchFamily="2" charset="0"/>
              </a:defRPr>
            </a:pPr>
            <a:endParaRPr lang="fr-FR"/>
          </a:p>
        </c:txPr>
        <c:crossAx val="139375792"/>
        <c:crosses val="autoZero"/>
        <c:auto val="1"/>
        <c:lblAlgn val="ctr"/>
        <c:lblOffset val="100"/>
        <c:noMultiLvlLbl val="0"/>
      </c:catAx>
      <c:valAx>
        <c:axId val="139375792"/>
        <c:scaling>
          <c:orientation val="minMax"/>
        </c:scaling>
        <c:delete val="1"/>
        <c:axPos val="t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3937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41018529126243"/>
          <c:y val="8.6351855253729973E-2"/>
          <c:w val="0.45721776410162995"/>
          <c:h val="0.86737589393109438"/>
        </c:manualLayout>
      </c:layout>
      <c:doughnutChart>
        <c:varyColors val="1"/>
        <c:ser>
          <c:idx val="0"/>
          <c:order val="0"/>
          <c:spPr>
            <a:solidFill>
              <a:srgbClr val="FA8B3A"/>
            </a:solidFill>
          </c:spPr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A66-4841-B223-5840F7983409}"/>
              </c:ext>
            </c:extLst>
          </c:dPt>
          <c:dPt>
            <c:idx val="1"/>
            <c:bubble3D val="0"/>
            <c:spPr>
              <a:solidFill>
                <a:srgbClr val="D3D3D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53-45C1-81FD-1BF7E840A529}"/>
              </c:ext>
            </c:extLst>
          </c:dPt>
          <c:val>
            <c:numRef>
              <c:f>Dashboard!$C$55:$C$56</c:f>
              <c:numCache>
                <c:formatCode>0%</c:formatCode>
                <c:ptCount val="2"/>
                <c:pt idx="0">
                  <c:v>0.37476902619717822</c:v>
                </c:pt>
                <c:pt idx="1">
                  <c:v>0.62523097380282178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53-45C1-81FD-1BF7E840A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ADE-479B-871C-4610DB99CF2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ADE-479B-871C-4610DB99CF2F}"/>
              </c:ext>
            </c:extLst>
          </c:dPt>
          <c:dPt>
            <c:idx val="2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DE-479B-871C-4610DB99CF2F}"/>
              </c:ext>
            </c:extLst>
          </c:dPt>
          <c:dPt>
            <c:idx val="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ADE-479B-871C-4610DB99CF2F}"/>
              </c:ext>
            </c:extLst>
          </c:dPt>
          <c:dLbls>
            <c:dLbl>
              <c:idx val="0"/>
              <c:layout>
                <c:manualLayout>
                  <c:x val="0.13935543568945405"/>
                  <c:y val="-9.088054365002193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DE-479B-871C-4610DB99CF2F}"/>
                </c:ext>
              </c:extLst>
            </c:dLbl>
            <c:dLbl>
              <c:idx val="1"/>
              <c:layout>
                <c:manualLayout>
                  <c:x val="0.1439244663677969"/>
                  <c:y val="0.2159330708661416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DE-479B-871C-4610DB99CF2F}"/>
                </c:ext>
              </c:extLst>
            </c:dLbl>
            <c:dLbl>
              <c:idx val="2"/>
              <c:layout>
                <c:manualLayout>
                  <c:x val="-8.6811582888512429E-2"/>
                  <c:y val="0.1229560296441474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ADE-479B-871C-4610DB99CF2F}"/>
                </c:ext>
              </c:extLst>
            </c:dLbl>
            <c:dLbl>
              <c:idx val="3"/>
              <c:layout>
                <c:manualLayout>
                  <c:x val="-0.11422576695856897"/>
                  <c:y val="-0.1015723723147303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ADE-479B-871C-4610DB99CF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SemiBold" panose="00000700000000000000" pitchFamily="2" charset="0"/>
                    <a:ea typeface="+mn-ea"/>
                    <a:cs typeface="Poppins SemiBold" panose="000007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Dashboard!$B$60:$B$63</c:f>
              <c:strCache>
                <c:ptCount val="4"/>
                <c:pt idx="0">
                  <c:v>Variable</c:v>
                </c:pt>
                <c:pt idx="1">
                  <c:v>Facture</c:v>
                </c:pt>
                <c:pt idx="2">
                  <c:v>Crédit</c:v>
                </c:pt>
                <c:pt idx="3">
                  <c:v>Epargne</c:v>
                </c:pt>
              </c:strCache>
            </c:strRef>
          </c:cat>
          <c:val>
            <c:numRef>
              <c:f>Dashboard!$C$60:$C$63</c:f>
              <c:numCache>
                <c:formatCode>_("€"* #,##0.00_);_("€"* \(#,##0.00\);_("€"* "-"??_);_(@_)</c:formatCode>
                <c:ptCount val="4"/>
                <c:pt idx="0" formatCode="_-* #.##000\ [$€-40C]_-;\-* #.##000\ [$€-40C]_-;_-* &quot;-&quot;??\ [$€-40C]_-;_-@_-">
                  <c:v>298.75</c:v>
                </c:pt>
                <c:pt idx="1">
                  <c:v>15.17</c:v>
                </c:pt>
                <c:pt idx="2">
                  <c:v>0</c:v>
                </c:pt>
                <c:pt idx="3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DE-479B-871C-4610DB99C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03542459115662"/>
          <c:y val="0.19661809882448819"/>
          <c:w val="0.18000997629296403"/>
          <c:h val="0.63883928834514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oppins "/>
              <a:ea typeface="+mn-ea"/>
              <a:cs typeface="Poppins SemiBold" panose="000007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5914260717411"/>
          <c:y val="5.0925925925925923E-2"/>
          <c:w val="0.77355503059861108"/>
          <c:h val="0.9201546690301951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Dashboard!$S$50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Dashboard!$S$51:$S$53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551.75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FF-447F-BDC3-E559E5806478}"/>
            </c:ext>
          </c:extLst>
        </c:ser>
        <c:ser>
          <c:idx val="1"/>
          <c:order val="1"/>
          <c:tx>
            <c:strRef>
              <c:f>Dashboard!$T$50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rgbClr val="D3D3D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Dashboard!$T$51:$T$53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2437.92</c:v>
                </c:pt>
                <c:pt idx="2">
                  <c:v>2700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FF-447F-BDC3-E559E58064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0"/>
        <c:overlap val="-10"/>
        <c:axId val="102589328"/>
        <c:axId val="102589808"/>
      </c:barChart>
      <c:catAx>
        <c:axId val="1025893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defRPr>
            </a:pPr>
            <a:endParaRPr lang="fr-FR"/>
          </a:p>
        </c:txPr>
        <c:crossAx val="102589808"/>
        <c:crosses val="autoZero"/>
        <c:auto val="1"/>
        <c:lblAlgn val="ctr"/>
        <c:lblOffset val="100"/>
        <c:noMultiLvlLbl val="0"/>
      </c:catAx>
      <c:valAx>
        <c:axId val="102589808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0258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7849539632373359"/>
          <c:y val="1.1003230357825917E-2"/>
          <c:w val="0.3485100448687134"/>
          <c:h val="0.122878358421998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lang="en-US"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Poppins Medium" panose="00000600000000000000" pitchFamily="2" charset="0"/>
              <a:ea typeface="+mn-ea"/>
              <a:cs typeface="Poppins Medium" panose="000006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0.17254767580452918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B-4A78-AB77-CEFFEC3A786B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6B-4A78-AB77-CEFFEC3A7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Dashboard!$O$45</c:f>
              <c:numCache>
                <c:formatCode>0%</c:formatCode>
                <c:ptCount val="1"/>
                <c:pt idx="0">
                  <c:v>3.346200507334289E-2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B6-41EE-AC91-9B1579D88DCC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Dashboard!$P$45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B6-41EE-AC91-9B1579D8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Dashboard!$S$45</c:f>
              <c:numCache>
                <c:formatCode>0%</c:formatCode>
                <c:ptCount val="1"/>
                <c:pt idx="0">
                  <c:v>1.1013395341442087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7BB-BCF9-06B1F8E0CA43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Dashboard!$T$45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EB-47BB-BCF9-06B1F8E0C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0.17254767580452918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19-46F2-9566-030BB8A8AAD2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19-46F2-9566-030BB8A8A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170610</xdr:colOff>
      <xdr:row>2</xdr:row>
      <xdr:rowOff>107943</xdr:rowOff>
    </xdr:from>
    <xdr:to>
      <xdr:col>3</xdr:col>
      <xdr:colOff>1309260</xdr:colOff>
      <xdr:row>8</xdr:row>
      <xdr:rowOff>35418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353B4484-D071-C5A1-DF5D-E2F8E76FBA6C}"/>
            </a:ext>
          </a:extLst>
        </xdr:cNvPr>
        <xdr:cNvGrpSpPr/>
      </xdr:nvGrpSpPr>
      <xdr:grpSpPr>
        <a:xfrm>
          <a:off x="170610" y="679443"/>
          <a:ext cx="4324233" cy="1112808"/>
          <a:chOff x="170610" y="708225"/>
          <a:chExt cx="4320000" cy="10800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85716FDE-9361-6CB8-8DC1-5F76CCBB3FA6}"/>
              </a:ext>
            </a:extLst>
          </xdr:cNvPr>
          <xdr:cNvSpPr/>
        </xdr:nvSpPr>
        <xdr:spPr>
          <a:xfrm>
            <a:off x="228600" y="717543"/>
            <a:ext cx="157162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>
                <a:solidFill>
                  <a:schemeClr val="tx1"/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Mois de</a:t>
            </a:r>
          </a:p>
        </xdr:txBody>
      </xdr:sp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80592B9F-5026-0FDE-89F1-F36AC7222A2B}"/>
              </a:ext>
            </a:extLst>
          </xdr:cNvPr>
          <xdr:cNvSpPr/>
        </xdr:nvSpPr>
        <xdr:spPr>
          <a:xfrm>
            <a:off x="170610" y="708225"/>
            <a:ext cx="4320000" cy="1080000"/>
          </a:xfrm>
          <a:prstGeom prst="roundRect">
            <a:avLst/>
          </a:prstGeom>
          <a:noFill/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1064473</xdr:colOff>
      <xdr:row>2</xdr:row>
      <xdr:rowOff>150994</xdr:rowOff>
    </xdr:from>
    <xdr:to>
      <xdr:col>19</xdr:col>
      <xdr:colOff>302248</xdr:colOff>
      <xdr:row>4</xdr:row>
      <xdr:rowOff>48469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38394D5E-0924-4164-8A49-4C317E575D50}"/>
            </a:ext>
          </a:extLst>
        </xdr:cNvPr>
        <xdr:cNvSpPr/>
      </xdr:nvSpPr>
      <xdr:spPr>
        <a:xfrm>
          <a:off x="18114223" y="722494"/>
          <a:ext cx="1800000" cy="288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bg1"/>
              </a:solidFill>
              <a:latin typeface="Poppins" panose="00000500000000000000" pitchFamily="2" charset="0"/>
              <a:cs typeface="Poppins" panose="00000500000000000000" pitchFamily="2" charset="0"/>
            </a:rPr>
            <a:t>Solde Net</a:t>
          </a:r>
        </a:p>
      </xdr:txBody>
    </xdr:sp>
    <xdr:clientData/>
  </xdr:twoCellAnchor>
  <xdr:twoCellAnchor>
    <xdr:from>
      <xdr:col>17</xdr:col>
      <xdr:colOff>1064473</xdr:colOff>
      <xdr:row>4</xdr:row>
      <xdr:rowOff>13777</xdr:rowOff>
    </xdr:from>
    <xdr:to>
      <xdr:col>20</xdr:col>
      <xdr:colOff>0</xdr:colOff>
      <xdr:row>6</xdr:row>
      <xdr:rowOff>110708</xdr:rowOff>
    </xdr:to>
    <xdr:sp macro="" textlink="$C$53">
      <xdr:nvSpPr>
        <xdr:cNvPr id="33" name="Rectangle 32">
          <a:extLst>
            <a:ext uri="{FF2B5EF4-FFF2-40B4-BE49-F238E27FC236}">
              <a16:creationId xmlns:a16="http://schemas.microsoft.com/office/drawing/2014/main" id="{F1FB0D41-C8AF-468F-9DD1-9D6EAE8A8F0E}"/>
            </a:ext>
          </a:extLst>
        </xdr:cNvPr>
        <xdr:cNvSpPr/>
      </xdr:nvSpPr>
      <xdr:spPr>
        <a:xfrm>
          <a:off x="18114223" y="975802"/>
          <a:ext cx="2745527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E6AD986-32F0-4A36-95F8-92F98EEADA5E}" type="TxLink">
            <a:rPr lang="en-US" sz="1800" b="0" i="0" u="none" strike="noStrike">
              <a:solidFill>
                <a:schemeClr val="bg1"/>
              </a:solidFill>
              <a:latin typeface="Poppins SemiBold" panose="020B0502040204020203" pitchFamily="2" charset="0"/>
              <a:cs typeface="Poppins SemiBold" panose="020B0502040204020203" pitchFamily="2" charset="0"/>
            </a:rPr>
            <a:pPr algn="l"/>
            <a:t> 1.448,21 € </a:t>
          </a:fld>
          <a:endParaRPr lang="fr-FR" sz="7200">
            <a:solidFill>
              <a:schemeClr val="bg1"/>
            </a:solidFill>
            <a:latin typeface="Poppins SemiBold" panose="020B0502040204020203" pitchFamily="2" charset="0"/>
            <a:cs typeface="Poppins SemiBold" panose="020B0502040204020203" pitchFamily="2" charset="0"/>
          </a:endParaRPr>
        </a:p>
      </xdr:txBody>
    </xdr:sp>
    <xdr:clientData/>
  </xdr:twoCellAnchor>
  <xdr:twoCellAnchor>
    <xdr:from>
      <xdr:col>1</xdr:col>
      <xdr:colOff>38100</xdr:colOff>
      <xdr:row>8</xdr:row>
      <xdr:rowOff>188819</xdr:rowOff>
    </xdr:from>
    <xdr:to>
      <xdr:col>4</xdr:col>
      <xdr:colOff>14700</xdr:colOff>
      <xdr:row>23</xdr:row>
      <xdr:rowOff>67319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7087D1ED-B0DE-5359-AD55-6199EE6EABCA}"/>
            </a:ext>
          </a:extLst>
        </xdr:cNvPr>
        <xdr:cNvGrpSpPr/>
      </xdr:nvGrpSpPr>
      <xdr:grpSpPr>
        <a:xfrm>
          <a:off x="218017" y="1945652"/>
          <a:ext cx="4336933" cy="2736000"/>
          <a:chOff x="219075" y="1914525"/>
          <a:chExt cx="4329525" cy="2685052"/>
        </a:xfrm>
      </xdr:grpSpPr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50552514-A3D7-0693-413C-9A4270430F50}"/>
              </a:ext>
            </a:extLst>
          </xdr:cNvPr>
          <xdr:cNvGrpSpPr/>
        </xdr:nvGrpSpPr>
        <xdr:grpSpPr>
          <a:xfrm>
            <a:off x="219075" y="1914525"/>
            <a:ext cx="4329525" cy="2685052"/>
            <a:chOff x="219075" y="1914525"/>
            <a:chExt cx="4329525" cy="2685052"/>
          </a:xfrm>
        </xdr:grpSpPr>
        <xdr:sp macro="" textlink="">
          <xdr:nvSpPr>
            <xdr:cNvPr id="48" name="Rectangle : coins arrondis 47">
              <a:extLst>
                <a:ext uri="{FF2B5EF4-FFF2-40B4-BE49-F238E27FC236}">
                  <a16:creationId xmlns:a16="http://schemas.microsoft.com/office/drawing/2014/main" id="{3A2EE087-8934-1E53-D67D-29716BBC2C09}"/>
                </a:ext>
              </a:extLst>
            </xdr:cNvPr>
            <xdr:cNvSpPr/>
          </xdr:nvSpPr>
          <xdr:spPr>
            <a:xfrm>
              <a:off x="228600" y="1914525"/>
              <a:ext cx="4320000" cy="2667000"/>
            </a:xfrm>
            <a:prstGeom prst="roundRect">
              <a:avLst>
                <a:gd name="adj" fmla="val 6335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2" name="Graphique 51">
              <a:extLst>
                <a:ext uri="{FF2B5EF4-FFF2-40B4-BE49-F238E27FC236}">
                  <a16:creationId xmlns:a16="http://schemas.microsoft.com/office/drawing/2014/main" id="{4255FA65-CF77-EF7B-7DE5-49F9A3F13271}"/>
                </a:ext>
              </a:extLst>
            </xdr:cNvPr>
            <xdr:cNvGraphicFramePr/>
          </xdr:nvGraphicFramePr>
          <xdr:xfrm>
            <a:off x="219075" y="2284319"/>
            <a:ext cx="4314850" cy="2315258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</xdr:grpSp>
      <xdr:sp macro="" textlink="">
        <xdr:nvSpPr>
          <xdr:cNvPr id="53" name="Rectangle 52">
            <a:extLst>
              <a:ext uri="{FF2B5EF4-FFF2-40B4-BE49-F238E27FC236}">
                <a16:creationId xmlns:a16="http://schemas.microsoft.com/office/drawing/2014/main" id="{285E9A44-3AE9-4864-951B-5218B5598902}"/>
              </a:ext>
            </a:extLst>
          </xdr:cNvPr>
          <xdr:cNvSpPr/>
        </xdr:nvSpPr>
        <xdr:spPr>
          <a:xfrm>
            <a:off x="228600" y="1914525"/>
            <a:ext cx="3650597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Vue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d'ensemble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</xdr:grpSp>
    <xdr:clientData/>
  </xdr:twoCellAnchor>
  <xdr:twoCellAnchor>
    <xdr:from>
      <xdr:col>5</xdr:col>
      <xdr:colOff>3539</xdr:colOff>
      <xdr:row>8</xdr:row>
      <xdr:rowOff>188819</xdr:rowOff>
    </xdr:from>
    <xdr:to>
      <xdr:col>8</xdr:col>
      <xdr:colOff>100739</xdr:colOff>
      <xdr:row>23</xdr:row>
      <xdr:rowOff>67319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66BAF029-FDE7-F14E-DCA4-4B4C263E1CEA}"/>
            </a:ext>
          </a:extLst>
        </xdr:cNvPr>
        <xdr:cNvGrpSpPr/>
      </xdr:nvGrpSpPr>
      <xdr:grpSpPr>
        <a:xfrm>
          <a:off x="4723706" y="1945652"/>
          <a:ext cx="4214116" cy="2736000"/>
          <a:chOff x="4664450" y="1914525"/>
          <a:chExt cx="4146175" cy="2678206"/>
        </a:xfrm>
      </xdr:grpSpPr>
      <xdr:sp macro="" textlink="">
        <xdr:nvSpPr>
          <xdr:cNvPr id="54" name="Rectangle 53">
            <a:extLst>
              <a:ext uri="{FF2B5EF4-FFF2-40B4-BE49-F238E27FC236}">
                <a16:creationId xmlns:a16="http://schemas.microsoft.com/office/drawing/2014/main" id="{571DE689-4D00-4803-80FC-3296C1020523}"/>
              </a:ext>
            </a:extLst>
          </xdr:cNvPr>
          <xdr:cNvSpPr/>
        </xdr:nvSpPr>
        <xdr:spPr>
          <a:xfrm>
            <a:off x="4667250" y="1914525"/>
            <a:ext cx="3187794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%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Dépense de revenu</a:t>
            </a:r>
            <a:endParaRPr lang="fr-FR" sz="12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pSp>
        <xdr:nvGrpSpPr>
          <xdr:cNvPr id="12" name="Groupe 11">
            <a:extLst>
              <a:ext uri="{FF2B5EF4-FFF2-40B4-BE49-F238E27FC236}">
                <a16:creationId xmlns:a16="http://schemas.microsoft.com/office/drawing/2014/main" id="{D699935B-BFC7-0486-7509-D37F425143A3}"/>
              </a:ext>
            </a:extLst>
          </xdr:cNvPr>
          <xdr:cNvGrpSpPr/>
        </xdr:nvGrpSpPr>
        <xdr:grpSpPr>
          <a:xfrm>
            <a:off x="4664450" y="1914525"/>
            <a:ext cx="4146175" cy="2678206"/>
            <a:chOff x="4664450" y="1914525"/>
            <a:chExt cx="4146175" cy="2678206"/>
          </a:xfrm>
        </xdr:grpSpPr>
        <xdr:sp macro="" textlink="">
          <xdr:nvSpPr>
            <xdr:cNvPr id="49" name="Rectangle : coins arrondis 48">
              <a:extLst>
                <a:ext uri="{FF2B5EF4-FFF2-40B4-BE49-F238E27FC236}">
                  <a16:creationId xmlns:a16="http://schemas.microsoft.com/office/drawing/2014/main" id="{56A7B92E-2F88-4BF2-9F78-2D02D46E0054}"/>
                </a:ext>
              </a:extLst>
            </xdr:cNvPr>
            <xdr:cNvSpPr/>
          </xdr:nvSpPr>
          <xdr:spPr>
            <a:xfrm>
              <a:off x="4664450" y="1914525"/>
              <a:ext cx="4146175" cy="2678206"/>
            </a:xfrm>
            <a:prstGeom prst="roundRect">
              <a:avLst>
                <a:gd name="adj" fmla="val 8070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9" name="Graphique 58">
              <a:extLst>
                <a:ext uri="{FF2B5EF4-FFF2-40B4-BE49-F238E27FC236}">
                  <a16:creationId xmlns:a16="http://schemas.microsoft.com/office/drawing/2014/main" id="{5CFD1FF6-F363-D00D-6169-90A5A0F7922B}"/>
                </a:ext>
              </a:extLst>
            </xdr:cNvPr>
            <xdr:cNvGraphicFramePr/>
          </xdr:nvGraphicFramePr>
          <xdr:xfrm>
            <a:off x="4664450" y="2284319"/>
            <a:ext cx="4146175" cy="2297206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</xdr:grpSp>
    </xdr:grpSp>
    <xdr:clientData/>
  </xdr:twoCellAnchor>
  <xdr:twoCellAnchor>
    <xdr:from>
      <xdr:col>6</xdr:col>
      <xdr:colOff>256613</xdr:colOff>
      <xdr:row>16</xdr:row>
      <xdr:rowOff>3082</xdr:rowOff>
    </xdr:from>
    <xdr:to>
      <xdr:col>6</xdr:col>
      <xdr:colOff>1026461</xdr:colOff>
      <xdr:row>18</xdr:row>
      <xdr:rowOff>100013</xdr:rowOff>
    </xdr:to>
    <xdr:sp macro="" textlink="$C$55">
      <xdr:nvSpPr>
        <xdr:cNvPr id="60" name="Rectangle 59">
          <a:extLst>
            <a:ext uri="{FF2B5EF4-FFF2-40B4-BE49-F238E27FC236}">
              <a16:creationId xmlns:a16="http://schemas.microsoft.com/office/drawing/2014/main" id="{9E8795EC-B913-4C52-A43B-EFA6EB709168}"/>
            </a:ext>
          </a:extLst>
        </xdr:cNvPr>
        <xdr:cNvSpPr/>
      </xdr:nvSpPr>
      <xdr:spPr>
        <a:xfrm>
          <a:off x="6466913" y="3251107"/>
          <a:ext cx="769848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8556F3F-203D-4691-9B51-14BC6D766806}" type="TxLink">
            <a:rPr lang="en-US" sz="24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rPr>
            <a:pPr algn="ctr"/>
            <a:t>37%</a:t>
          </a:fld>
          <a:endParaRPr lang="fr-FR" sz="2400">
            <a:solidFill>
              <a:schemeClr val="tx1"/>
            </a:solidFill>
            <a:latin typeface="Poppins SemiBold" panose="00000700000000000000" pitchFamily="2" charset="0"/>
            <a:cs typeface="Poppins SemiBold" panose="00000700000000000000" pitchFamily="2" charset="0"/>
          </a:endParaRPr>
        </a:p>
      </xdr:txBody>
    </xdr:sp>
    <xdr:clientData/>
  </xdr:twoCellAnchor>
  <xdr:twoCellAnchor>
    <xdr:from>
      <xdr:col>9</xdr:col>
      <xdr:colOff>89578</xdr:colOff>
      <xdr:row>8</xdr:row>
      <xdr:rowOff>188819</xdr:rowOff>
    </xdr:from>
    <xdr:to>
      <xdr:col>14</xdr:col>
      <xdr:colOff>416128</xdr:colOff>
      <xdr:row>23</xdr:row>
      <xdr:rowOff>81515</xdr:rowOff>
    </xdr:to>
    <xdr:grpSp>
      <xdr:nvGrpSpPr>
        <xdr:cNvPr id="39" name="Groupe 38">
          <a:extLst>
            <a:ext uri="{FF2B5EF4-FFF2-40B4-BE49-F238E27FC236}">
              <a16:creationId xmlns:a16="http://schemas.microsoft.com/office/drawing/2014/main" id="{9DDF7B3C-AEC4-C9C2-583C-595D94311524}"/>
            </a:ext>
          </a:extLst>
        </xdr:cNvPr>
        <xdr:cNvGrpSpPr/>
      </xdr:nvGrpSpPr>
      <xdr:grpSpPr>
        <a:xfrm>
          <a:off x="9106578" y="1945652"/>
          <a:ext cx="5829883" cy="2750196"/>
          <a:chOff x="9067799" y="1914525"/>
          <a:chExt cx="5832000" cy="2692102"/>
        </a:xfrm>
      </xdr:grpSpPr>
      <xdr:sp macro="" textlink="">
        <xdr:nvSpPr>
          <xdr:cNvPr id="50" name="Rectangle : coins arrondis 49">
            <a:extLst>
              <a:ext uri="{FF2B5EF4-FFF2-40B4-BE49-F238E27FC236}">
                <a16:creationId xmlns:a16="http://schemas.microsoft.com/office/drawing/2014/main" id="{485484B6-13F6-4053-B731-24CC812BD2E8}"/>
              </a:ext>
            </a:extLst>
          </xdr:cNvPr>
          <xdr:cNvSpPr/>
        </xdr:nvSpPr>
        <xdr:spPr>
          <a:xfrm>
            <a:off x="9073409" y="1914525"/>
            <a:ext cx="5820264" cy="2678206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3880F7E2-B1E4-4CD6-B203-4291E8A3B74A}"/>
              </a:ext>
            </a:extLst>
          </xdr:cNvPr>
          <xdr:cNvSpPr/>
        </xdr:nvSpPr>
        <xdr:spPr>
          <a:xfrm>
            <a:off x="9086850" y="1924050"/>
            <a:ext cx="3145772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Répartition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des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aphicFrame macro="">
        <xdr:nvGraphicFramePr>
          <xdr:cNvPr id="62" name="Graphique 61">
            <a:extLst>
              <a:ext uri="{FF2B5EF4-FFF2-40B4-BE49-F238E27FC236}">
                <a16:creationId xmlns:a16="http://schemas.microsoft.com/office/drawing/2014/main" id="{17045AF7-8D6D-21DE-6F26-94AE59E6BB90}"/>
              </a:ext>
            </a:extLst>
          </xdr:cNvPr>
          <xdr:cNvGraphicFramePr/>
        </xdr:nvGraphicFramePr>
        <xdr:xfrm>
          <a:off x="9067799" y="2316056"/>
          <a:ext cx="5832000" cy="229057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14</xdr:col>
      <xdr:colOff>585941</xdr:colOff>
      <xdr:row>8</xdr:row>
      <xdr:rowOff>188819</xdr:rowOff>
    </xdr:from>
    <xdr:to>
      <xdr:col>20</xdr:col>
      <xdr:colOff>14066</xdr:colOff>
      <xdr:row>23</xdr:row>
      <xdr:rowOff>68999</xdr:rowOff>
    </xdr:to>
    <xdr:grpSp>
      <xdr:nvGrpSpPr>
        <xdr:cNvPr id="85" name="Groupe 84">
          <a:extLst>
            <a:ext uri="{FF2B5EF4-FFF2-40B4-BE49-F238E27FC236}">
              <a16:creationId xmlns:a16="http://schemas.microsoft.com/office/drawing/2014/main" id="{8777E1C2-A97C-D62C-09AA-E604B37828C3}"/>
            </a:ext>
          </a:extLst>
        </xdr:cNvPr>
        <xdr:cNvGrpSpPr/>
      </xdr:nvGrpSpPr>
      <xdr:grpSpPr>
        <a:xfrm>
          <a:off x="15106274" y="1945652"/>
          <a:ext cx="6063875" cy="2737680"/>
          <a:chOff x="15102041" y="1912844"/>
          <a:chExt cx="6057525" cy="2737680"/>
        </a:xfrm>
      </xdr:grpSpPr>
      <xdr:sp macro="" textlink="">
        <xdr:nvSpPr>
          <xdr:cNvPr id="56" name="Rectangle : coins arrondis 55">
            <a:extLst>
              <a:ext uri="{FF2B5EF4-FFF2-40B4-BE49-F238E27FC236}">
                <a16:creationId xmlns:a16="http://schemas.microsoft.com/office/drawing/2014/main" id="{EA3A19F7-E8E2-4068-B2AA-AB1433B176F6}"/>
              </a:ext>
            </a:extLst>
          </xdr:cNvPr>
          <xdr:cNvSpPr/>
        </xdr:nvSpPr>
        <xdr:spPr>
          <a:xfrm>
            <a:off x="15102041" y="1914524"/>
            <a:ext cx="6057525" cy="2736000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" name="Rectangle 56">
            <a:extLst>
              <a:ext uri="{FF2B5EF4-FFF2-40B4-BE49-F238E27FC236}">
                <a16:creationId xmlns:a16="http://schemas.microsoft.com/office/drawing/2014/main" id="{5FAA17D6-C7F4-4C46-9770-03C6A2D8B169}"/>
              </a:ext>
            </a:extLst>
          </xdr:cNvPr>
          <xdr:cNvSpPr/>
        </xdr:nvSpPr>
        <xdr:spPr>
          <a:xfrm>
            <a:off x="15102041" y="1912844"/>
            <a:ext cx="3308818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Progression de l'épargne</a:t>
            </a:r>
          </a:p>
        </xdr:txBody>
      </xdr:sp>
      <xdr:graphicFrame macro="">
        <xdr:nvGraphicFramePr>
          <xdr:cNvPr id="64" name="Graphique 63">
            <a:extLst>
              <a:ext uri="{FF2B5EF4-FFF2-40B4-BE49-F238E27FC236}">
                <a16:creationId xmlns:a16="http://schemas.microsoft.com/office/drawing/2014/main" id="{9CA8E3CA-38D6-55B7-DB24-49FBE6BFAEB9}"/>
              </a:ext>
            </a:extLst>
          </xdr:cNvPr>
          <xdr:cNvGraphicFramePr/>
        </xdr:nvGraphicFramePr>
        <xdr:xfrm>
          <a:off x="15102041" y="2284318"/>
          <a:ext cx="6043459" cy="230841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5</xdr:col>
      <xdr:colOff>228599</xdr:colOff>
      <xdr:row>2</xdr:row>
      <xdr:rowOff>57150</xdr:rowOff>
    </xdr:from>
    <xdr:to>
      <xdr:col>7</xdr:col>
      <xdr:colOff>279675</xdr:colOff>
      <xdr:row>7</xdr:row>
      <xdr:rowOff>175737</xdr:rowOff>
    </xdr:to>
    <xdr:grpSp>
      <xdr:nvGrpSpPr>
        <xdr:cNvPr id="51" name="Groupe 50">
          <a:extLst>
            <a:ext uri="{FF2B5EF4-FFF2-40B4-BE49-F238E27FC236}">
              <a16:creationId xmlns:a16="http://schemas.microsoft.com/office/drawing/2014/main" id="{DA01D527-7A54-AC2E-50B3-FB301D38B92F}"/>
            </a:ext>
          </a:extLst>
        </xdr:cNvPr>
        <xdr:cNvGrpSpPr/>
      </xdr:nvGrpSpPr>
      <xdr:grpSpPr>
        <a:xfrm>
          <a:off x="4948766" y="628650"/>
          <a:ext cx="2876826" cy="1113420"/>
          <a:chOff x="4981574" y="647700"/>
          <a:chExt cx="2880001" cy="1080612"/>
        </a:xfrm>
      </xdr:grpSpPr>
      <xdr:grpSp>
        <xdr:nvGrpSpPr>
          <xdr:cNvPr id="20" name="Groupe 19">
            <a:extLst>
              <a:ext uri="{FF2B5EF4-FFF2-40B4-BE49-F238E27FC236}">
                <a16:creationId xmlns:a16="http://schemas.microsoft.com/office/drawing/2014/main" id="{244AB480-A4EB-6886-F9E7-46FEF13E48C4}"/>
              </a:ext>
            </a:extLst>
          </xdr:cNvPr>
          <xdr:cNvGrpSpPr/>
        </xdr:nvGrpSpPr>
        <xdr:grpSpPr>
          <a:xfrm>
            <a:off x="5143500" y="654047"/>
            <a:ext cx="2522424" cy="1068531"/>
            <a:chOff x="5012287" y="660813"/>
            <a:chExt cx="2500796" cy="1068531"/>
          </a:xfrm>
        </xdr:grpSpPr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FC55B878-3624-49F3-8D56-7E7CFFFAE1D4}"/>
                </a:ext>
              </a:extLst>
            </xdr:cNvPr>
            <xdr:cNvSpPr/>
          </xdr:nvSpPr>
          <xdr:spPr>
            <a:xfrm>
              <a:off x="5026921" y="660813"/>
              <a:ext cx="1800000" cy="288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200">
                  <a:solidFill>
                    <a:schemeClr val="tx1">
                      <a:lumMod val="50000"/>
                      <a:lumOff val="50000"/>
                    </a:schemeClr>
                  </a:solidFill>
                  <a:latin typeface="Poppins Medium" panose="00000600000000000000" pitchFamily="2" charset="0"/>
                  <a:cs typeface="Poppins Medium" panose="00000600000000000000" pitchFamily="2" charset="0"/>
                </a:rPr>
                <a:t>Revenue Totale</a:t>
              </a:r>
            </a:p>
          </xdr:txBody>
        </xdr:sp>
        <xdr:sp macro="" textlink="$C$37">
          <xdr:nvSpPr>
            <xdr:cNvPr id="29" name="Rectangle 28">
              <a:extLst>
                <a:ext uri="{FF2B5EF4-FFF2-40B4-BE49-F238E27FC236}">
                  <a16:creationId xmlns:a16="http://schemas.microsoft.com/office/drawing/2014/main" id="{145F66EC-CD27-4674-82A6-07D7C12D78FF}"/>
                </a:ext>
              </a:extLst>
            </xdr:cNvPr>
            <xdr:cNvSpPr/>
          </xdr:nvSpPr>
          <xdr:spPr>
            <a:xfrm>
              <a:off x="5119563" y="967863"/>
              <a:ext cx="2160000" cy="504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D53892A7-0426-4962-8BBA-0AB76ECDC89F}" type="TxLink">
                <a:rPr lang="en-US" sz="1800" b="0" i="0" u="none" strike="noStrike">
                  <a:solidFill>
                    <a:srgbClr val="00000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 2.316,28 € </a:t>
              </a:fld>
              <a:endParaRPr lang="fr-FR" sz="3200">
                <a:solidFill>
                  <a:schemeClr val="tx1">
                    <a:lumMod val="50000"/>
                    <a:lumOff val="5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  <xdr:graphicFrame macro="">
          <xdr:nvGraphicFramePr>
            <xdr:cNvPr id="34" name="Graphique 33">
              <a:extLst>
                <a:ext uri="{FF2B5EF4-FFF2-40B4-BE49-F238E27FC236}">
                  <a16:creationId xmlns:a16="http://schemas.microsoft.com/office/drawing/2014/main" id="{35B54E87-7C10-9148-7981-16888AF2BD75}"/>
                </a:ext>
              </a:extLst>
            </xdr:cNvPr>
            <xdr:cNvGraphicFramePr/>
          </xdr:nvGraphicFramePr>
          <xdr:xfrm>
            <a:off x="5012287" y="1297344"/>
            <a:ext cx="2141480" cy="43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5"/>
            </a:graphicData>
          </a:graphic>
        </xdr:graphicFrame>
        <xdr:sp macro="" textlink="$C$45">
          <xdr:nvSpPr>
            <xdr:cNvPr id="35" name="Rectangle 34">
              <a:extLst>
                <a:ext uri="{FF2B5EF4-FFF2-40B4-BE49-F238E27FC236}">
                  <a16:creationId xmlns:a16="http://schemas.microsoft.com/office/drawing/2014/main" id="{344A4DCB-1508-4519-8269-E1DF74E21566}"/>
                </a:ext>
              </a:extLst>
            </xdr:cNvPr>
            <xdr:cNvSpPr/>
          </xdr:nvSpPr>
          <xdr:spPr>
            <a:xfrm>
              <a:off x="6901083" y="1335444"/>
              <a:ext cx="612000" cy="360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6581F4CB-26A9-43AE-8FDF-07D23745F8C5}" type="TxLink">
                <a:rPr lang="en-US" sz="1200" b="0" i="0" u="none" strike="noStrike">
                  <a:solidFill>
                    <a:srgbClr val="00B05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17%</a:t>
              </a:fld>
              <a:endParaRPr lang="fr-FR" sz="1200">
                <a:solidFill>
                  <a:srgbClr val="00B050"/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</xdr:grpSp>
      <xdr:sp macro="" textlink="">
        <xdr:nvSpPr>
          <xdr:cNvPr id="46" name="Rectangle : avec coin arrondi 45">
            <a:extLst>
              <a:ext uri="{FF2B5EF4-FFF2-40B4-BE49-F238E27FC236}">
                <a16:creationId xmlns:a16="http://schemas.microsoft.com/office/drawing/2014/main" id="{60EA7B79-24CB-CDFE-2D5A-9B0A3DBA56BF}"/>
              </a:ext>
            </a:extLst>
          </xdr:cNvPr>
          <xdr:cNvSpPr/>
        </xdr:nvSpPr>
        <xdr:spPr>
          <a:xfrm>
            <a:off x="4981575" y="648312"/>
            <a:ext cx="2880000" cy="1080000"/>
          </a:xfrm>
          <a:prstGeom prst="round1Rect">
            <a:avLst/>
          </a:prstGeom>
          <a:noFill/>
          <a:ln>
            <a:solidFill>
              <a:srgbClr val="D3D3D3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7" name="Rectangle : avec coin arrondi 46">
            <a:extLst>
              <a:ext uri="{FF2B5EF4-FFF2-40B4-BE49-F238E27FC236}">
                <a16:creationId xmlns:a16="http://schemas.microsoft.com/office/drawing/2014/main" id="{2F4C3B78-F529-423E-A58F-FDF6E30DEB27}"/>
              </a:ext>
            </a:extLst>
          </xdr:cNvPr>
          <xdr:cNvSpPr/>
        </xdr:nvSpPr>
        <xdr:spPr>
          <a:xfrm>
            <a:off x="4981574" y="647700"/>
            <a:ext cx="180000" cy="1080000"/>
          </a:xfrm>
          <a:prstGeom prst="round1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933450</xdr:colOff>
      <xdr:row>2</xdr:row>
      <xdr:rowOff>57150</xdr:rowOff>
    </xdr:from>
    <xdr:to>
      <xdr:col>13</xdr:col>
      <xdr:colOff>1403625</xdr:colOff>
      <xdr:row>7</xdr:row>
      <xdr:rowOff>184650</xdr:rowOff>
    </xdr:to>
    <xdr:grpSp>
      <xdr:nvGrpSpPr>
        <xdr:cNvPr id="82" name="Groupe 81">
          <a:extLst>
            <a:ext uri="{FF2B5EF4-FFF2-40B4-BE49-F238E27FC236}">
              <a16:creationId xmlns:a16="http://schemas.microsoft.com/office/drawing/2014/main" id="{1CEA42CF-268C-1C4B-DAE0-F95B7288F5FD}"/>
            </a:ext>
          </a:extLst>
        </xdr:cNvPr>
        <xdr:cNvGrpSpPr/>
      </xdr:nvGrpSpPr>
      <xdr:grpSpPr>
        <a:xfrm>
          <a:off x="11463867" y="628650"/>
          <a:ext cx="2883175" cy="1122333"/>
          <a:chOff x="11353800" y="676275"/>
          <a:chExt cx="2880000" cy="1089525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9EA8EEDD-D847-446E-9B7B-D1B7CA9B2674}"/>
              </a:ext>
            </a:extLst>
          </xdr:cNvPr>
          <xdr:cNvSpPr/>
        </xdr:nvSpPr>
        <xdr:spPr>
          <a:xfrm>
            <a:off x="11534443" y="676275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r>
              <a:rPr lang="fr-FR" sz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fixes</a:t>
            </a:r>
            <a:endParaRPr lang="fr-FR" sz="12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O$44">
        <xdr:nvSpPr>
          <xdr:cNvPr id="32" name="Rectangle 31">
            <a:extLst>
              <a:ext uri="{FF2B5EF4-FFF2-40B4-BE49-F238E27FC236}">
                <a16:creationId xmlns:a16="http://schemas.microsoft.com/office/drawing/2014/main" id="{6D539919-F8AA-4E89-AA1E-449BDE52A48C}"/>
              </a:ext>
            </a:extLst>
          </xdr:cNvPr>
          <xdr:cNvSpPr/>
        </xdr:nvSpPr>
        <xdr:spPr>
          <a:xfrm>
            <a:off x="11713800" y="969037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CCFBE988-CAF5-45EE-9DF0-09569F26E68F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15,17 € </a:t>
            </a:fld>
            <a:endParaRPr lang="en-US" sz="18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2" name="Graphique 41">
            <a:extLst>
              <a:ext uri="{FF2B5EF4-FFF2-40B4-BE49-F238E27FC236}">
                <a16:creationId xmlns:a16="http://schemas.microsoft.com/office/drawing/2014/main" id="{A502E8C1-2C3B-453E-AFA2-19129079EF35}"/>
              </a:ext>
            </a:extLst>
          </xdr:cNvPr>
          <xdr:cNvGraphicFramePr>
            <a:graphicFrameLocks/>
          </xdr:cNvGraphicFramePr>
        </xdr:nvGraphicFramePr>
        <xdr:xfrm>
          <a:off x="11532335" y="1325499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$O$45">
        <xdr:nvSpPr>
          <xdr:cNvPr id="43" name="Rectangle 42">
            <a:extLst>
              <a:ext uri="{FF2B5EF4-FFF2-40B4-BE49-F238E27FC236}">
                <a16:creationId xmlns:a16="http://schemas.microsoft.com/office/drawing/2014/main" id="{B4F5FDE9-BB97-45B8-B722-3357BEBE8672}"/>
              </a:ext>
            </a:extLst>
          </xdr:cNvPr>
          <xdr:cNvSpPr/>
        </xdr:nvSpPr>
        <xdr:spPr>
          <a:xfrm>
            <a:off x="13294645" y="1382649"/>
            <a:ext cx="612000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6E29CC3-23A6-42B3-AC8F-4BE0DA3C34E1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3%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63" name="Groupe 62">
            <a:extLst>
              <a:ext uri="{FF2B5EF4-FFF2-40B4-BE49-F238E27FC236}">
                <a16:creationId xmlns:a16="http://schemas.microsoft.com/office/drawing/2014/main" id="{2ADB2B18-23D0-5AF2-91D3-F9D4AC3D6A29}"/>
              </a:ext>
            </a:extLst>
          </xdr:cNvPr>
          <xdr:cNvGrpSpPr/>
        </xdr:nvGrpSpPr>
        <xdr:grpSpPr>
          <a:xfrm>
            <a:off x="11353800" y="676275"/>
            <a:ext cx="2880000" cy="1089525"/>
            <a:chOff x="10525125" y="8858250"/>
            <a:chExt cx="2880000" cy="1089525"/>
          </a:xfrm>
        </xdr:grpSpPr>
        <xdr:sp macro="" textlink="">
          <xdr:nvSpPr>
            <xdr:cNvPr id="58" name="Rectangle : avec coin arrondi 57">
              <a:extLst>
                <a:ext uri="{FF2B5EF4-FFF2-40B4-BE49-F238E27FC236}">
                  <a16:creationId xmlns:a16="http://schemas.microsoft.com/office/drawing/2014/main" id="{0998F348-1075-4CEA-91DE-6A4B2E489E5E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1" name="Rectangle : avec coin arrondi 60">
              <a:extLst>
                <a:ext uri="{FF2B5EF4-FFF2-40B4-BE49-F238E27FC236}">
                  <a16:creationId xmlns:a16="http://schemas.microsoft.com/office/drawing/2014/main" id="{C3815E4A-4091-4597-9270-D9817BECD054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17</xdr:col>
      <xdr:colOff>704850</xdr:colOff>
      <xdr:row>2</xdr:row>
      <xdr:rowOff>95251</xdr:rowOff>
    </xdr:from>
    <xdr:to>
      <xdr:col>19</xdr:col>
      <xdr:colOff>917850</xdr:colOff>
      <xdr:row>7</xdr:row>
      <xdr:rowOff>184652</xdr:rowOff>
    </xdr:to>
    <xdr:grpSp>
      <xdr:nvGrpSpPr>
        <xdr:cNvPr id="84" name="Groupe 83">
          <a:extLst>
            <a:ext uri="{FF2B5EF4-FFF2-40B4-BE49-F238E27FC236}">
              <a16:creationId xmlns:a16="http://schemas.microsoft.com/office/drawing/2014/main" id="{6C92A180-2EA9-2556-13A0-4716DDDC8167}"/>
            </a:ext>
          </a:extLst>
        </xdr:cNvPr>
        <xdr:cNvGrpSpPr/>
      </xdr:nvGrpSpPr>
      <xdr:grpSpPr>
        <a:xfrm>
          <a:off x="17945100" y="666751"/>
          <a:ext cx="2880000" cy="1084234"/>
          <a:chOff x="17973675" y="685800"/>
          <a:chExt cx="2880000" cy="1052398"/>
        </a:xfrm>
      </xdr:grpSpPr>
      <xdr:grpSp>
        <xdr:nvGrpSpPr>
          <xdr:cNvPr id="69" name="Groupe 68">
            <a:extLst>
              <a:ext uri="{FF2B5EF4-FFF2-40B4-BE49-F238E27FC236}">
                <a16:creationId xmlns:a16="http://schemas.microsoft.com/office/drawing/2014/main" id="{10385178-D7F3-41B8-9689-B60230128FED}"/>
              </a:ext>
            </a:extLst>
          </xdr:cNvPr>
          <xdr:cNvGrpSpPr/>
        </xdr:nvGrpSpPr>
        <xdr:grpSpPr>
          <a:xfrm>
            <a:off x="17973675" y="685800"/>
            <a:ext cx="2880000" cy="1052398"/>
            <a:chOff x="10525125" y="8858250"/>
            <a:chExt cx="2880000" cy="1052398"/>
          </a:xfrm>
        </xdr:grpSpPr>
        <xdr:sp macro="" textlink="">
          <xdr:nvSpPr>
            <xdr:cNvPr id="70" name="Rectangle : avec coin arrondi 69">
              <a:extLst>
                <a:ext uri="{FF2B5EF4-FFF2-40B4-BE49-F238E27FC236}">
                  <a16:creationId xmlns:a16="http://schemas.microsoft.com/office/drawing/2014/main" id="{07AD4785-E759-1A20-7AD5-E6704C2273D5}"/>
                </a:ext>
              </a:extLst>
            </xdr:cNvPr>
            <xdr:cNvSpPr/>
          </xdr:nvSpPr>
          <xdr:spPr>
            <a:xfrm>
              <a:off x="10525125" y="8858250"/>
              <a:ext cx="2880000" cy="1052398"/>
            </a:xfrm>
            <a:prstGeom prst="round1Rect">
              <a:avLst/>
            </a:prstGeom>
            <a:solidFill>
              <a:srgbClr val="00B0F0"/>
            </a:solidFill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accent1">
                    <a:lumMod val="40000"/>
                    <a:lumOff val="60000"/>
                  </a:schemeClr>
                </a:solidFill>
              </a:endParaRPr>
            </a:p>
          </xdr:txBody>
        </xdr:sp>
        <xdr:sp macro="" textlink="">
          <xdr:nvSpPr>
            <xdr:cNvPr id="71" name="Rectangle : avec coin arrondi 70">
              <a:extLst>
                <a:ext uri="{FF2B5EF4-FFF2-40B4-BE49-F238E27FC236}">
                  <a16:creationId xmlns:a16="http://schemas.microsoft.com/office/drawing/2014/main" id="{2E47D5D4-DA12-D825-442B-6253EAEB0D70}"/>
                </a:ext>
              </a:extLst>
            </xdr:cNvPr>
            <xdr:cNvSpPr/>
          </xdr:nvSpPr>
          <xdr:spPr>
            <a:xfrm>
              <a:off x="10525125" y="8858250"/>
              <a:ext cx="180000" cy="1052398"/>
            </a:xfrm>
            <a:prstGeom prst="round1Rect">
              <a:avLst/>
            </a:prstGeom>
            <a:solidFill>
              <a:srgbClr val="006C92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id="{7FF346EC-B8B5-4CF6-BF31-19849AE490E7}"/>
              </a:ext>
            </a:extLst>
          </xdr:cNvPr>
          <xdr:cNvSpPr/>
        </xdr:nvSpPr>
        <xdr:spPr>
          <a:xfrm>
            <a:off x="18155286" y="685800"/>
            <a:ext cx="1843506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>
                <a:solidFill>
                  <a:sysClr val="windowText" lastClr="000000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Solde</a:t>
            </a:r>
          </a:p>
        </xdr:txBody>
      </xdr:sp>
      <xdr:sp macro="" textlink="$C$53">
        <xdr:nvSpPr>
          <xdr:cNvPr id="37" name="Rectangle 36">
            <a:extLst>
              <a:ext uri="{FF2B5EF4-FFF2-40B4-BE49-F238E27FC236}">
                <a16:creationId xmlns:a16="http://schemas.microsoft.com/office/drawing/2014/main" id="{5A597CA2-9C09-4AF6-A7E2-B39DAC3AD7BD}"/>
              </a:ext>
            </a:extLst>
          </xdr:cNvPr>
          <xdr:cNvSpPr/>
        </xdr:nvSpPr>
        <xdr:spPr>
          <a:xfrm>
            <a:off x="18130474" y="969280"/>
            <a:ext cx="2166353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57292886-D01C-4D74-A2D6-6D7D203630A3}" type="TxLink">
              <a:rPr lang="en-US" sz="20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ea typeface="+mn-ea"/>
                <a:cs typeface="Poppins SemiBold" panose="00000700000000000000" pitchFamily="2" charset="0"/>
              </a:rPr>
              <a:pPr marL="0" indent="0" algn="l"/>
              <a:t> 1.448,21 € </a:t>
            </a:fld>
            <a:endParaRPr lang="fr-FR" sz="2000" b="0" i="0" u="none" strike="noStrike">
              <a:solidFill>
                <a:srgbClr val="000000"/>
              </a:solidFill>
              <a:latin typeface="Poppins SemiBold" panose="00000700000000000000" pitchFamily="2" charset="0"/>
              <a:ea typeface="+mn-ea"/>
              <a:cs typeface="Poppins SemiBold" panose="00000700000000000000" pitchFamily="2" charset="0"/>
            </a:endParaRPr>
          </a:p>
        </xdr:txBody>
      </xdr:sp>
    </xdr:grpSp>
    <xdr:clientData/>
  </xdr:twoCellAnchor>
  <xdr:twoCellAnchor>
    <xdr:from>
      <xdr:col>14</xdr:col>
      <xdr:colOff>200025</xdr:colOff>
      <xdr:row>2</xdr:row>
      <xdr:rowOff>57150</xdr:rowOff>
    </xdr:from>
    <xdr:to>
      <xdr:col>17</xdr:col>
      <xdr:colOff>365400</xdr:colOff>
      <xdr:row>7</xdr:row>
      <xdr:rowOff>184650</xdr:rowOff>
    </xdr:to>
    <xdr:grpSp>
      <xdr:nvGrpSpPr>
        <xdr:cNvPr id="83" name="Groupe 82">
          <a:extLst>
            <a:ext uri="{FF2B5EF4-FFF2-40B4-BE49-F238E27FC236}">
              <a16:creationId xmlns:a16="http://schemas.microsoft.com/office/drawing/2014/main" id="{3203E2E0-20EE-3DAC-3738-2E20A4130FB1}"/>
            </a:ext>
          </a:extLst>
        </xdr:cNvPr>
        <xdr:cNvGrpSpPr/>
      </xdr:nvGrpSpPr>
      <xdr:grpSpPr>
        <a:xfrm>
          <a:off x="14720358" y="628650"/>
          <a:ext cx="2885292" cy="1122333"/>
          <a:chOff x="14735175" y="666750"/>
          <a:chExt cx="2880000" cy="1089525"/>
        </a:xfrm>
      </xdr:grpSpPr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1AB2E280-93C3-421F-8E19-5AC5D6D91C0D}"/>
              </a:ext>
            </a:extLst>
          </xdr:cNvPr>
          <xdr:cNvSpPr/>
        </xdr:nvSpPr>
        <xdr:spPr>
          <a:xfrm>
            <a:off x="14929979" y="666750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Epargne</a:t>
            </a:r>
            <a:endParaRPr lang="fr-FR" sz="11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S$37">
        <xdr:nvSpPr>
          <xdr:cNvPr id="31" name="Rectangle 30">
            <a:extLst>
              <a:ext uri="{FF2B5EF4-FFF2-40B4-BE49-F238E27FC236}">
                <a16:creationId xmlns:a16="http://schemas.microsoft.com/office/drawing/2014/main" id="{1377E8AB-692B-4C96-8ED0-4451F548B445}"/>
              </a:ext>
            </a:extLst>
          </xdr:cNvPr>
          <xdr:cNvSpPr/>
        </xdr:nvSpPr>
        <xdr:spPr>
          <a:xfrm>
            <a:off x="15095175" y="959512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4C7D8369-683A-4CFA-9299-CCAB2DA39A19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554,15 € </a:t>
            </a:fld>
            <a:endParaRPr lang="fr-FR" sz="48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4" name="Graphique 43">
            <a:extLst>
              <a:ext uri="{FF2B5EF4-FFF2-40B4-BE49-F238E27FC236}">
                <a16:creationId xmlns:a16="http://schemas.microsoft.com/office/drawing/2014/main" id="{776CC419-3191-4848-847A-A5587AAE8A86}"/>
              </a:ext>
            </a:extLst>
          </xdr:cNvPr>
          <xdr:cNvGraphicFramePr>
            <a:graphicFrameLocks/>
          </xdr:cNvGraphicFramePr>
        </xdr:nvGraphicFramePr>
        <xdr:xfrm>
          <a:off x="14899508" y="1316394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$S$45">
        <xdr:nvSpPr>
          <xdr:cNvPr id="45" name="Rectangle 44">
            <a:extLst>
              <a:ext uri="{FF2B5EF4-FFF2-40B4-BE49-F238E27FC236}">
                <a16:creationId xmlns:a16="http://schemas.microsoft.com/office/drawing/2014/main" id="{FBC583FE-3871-404A-8939-39363DBD6320}"/>
              </a:ext>
            </a:extLst>
          </xdr:cNvPr>
          <xdr:cNvSpPr/>
        </xdr:nvSpPr>
        <xdr:spPr>
          <a:xfrm>
            <a:off x="16831883" y="1364019"/>
            <a:ext cx="655703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9A51B04-DD9D-4CA6-9B9A-9187BBD8A1F4}" type="TxLink">
              <a:rPr lang="en-US" sz="1200" b="0" i="0" u="none" strike="noStrike">
                <a:solidFill>
                  <a:schemeClr val="accent5">
                    <a:lumMod val="60000"/>
                    <a:lumOff val="4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110%</a:t>
            </a:fld>
            <a:endParaRPr lang="fr-FR" sz="1200">
              <a:solidFill>
                <a:schemeClr val="accent5">
                  <a:lumMod val="60000"/>
                  <a:lumOff val="4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5" name="Groupe 74">
            <a:extLst>
              <a:ext uri="{FF2B5EF4-FFF2-40B4-BE49-F238E27FC236}">
                <a16:creationId xmlns:a16="http://schemas.microsoft.com/office/drawing/2014/main" id="{E725623E-14CD-4C56-8456-2C2A615A6E8D}"/>
              </a:ext>
            </a:extLst>
          </xdr:cNvPr>
          <xdr:cNvGrpSpPr/>
        </xdr:nvGrpSpPr>
        <xdr:grpSpPr>
          <a:xfrm>
            <a:off x="14735175" y="666750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6" name="Rectangle : avec coin arrondi 75">
              <a:extLst>
                <a:ext uri="{FF2B5EF4-FFF2-40B4-BE49-F238E27FC236}">
                  <a16:creationId xmlns:a16="http://schemas.microsoft.com/office/drawing/2014/main" id="{BD538FB2-1626-A174-DAEB-E0E8AC983F3F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7" name="Rectangle : avec coin arrondi 76">
              <a:extLst>
                <a:ext uri="{FF2B5EF4-FFF2-40B4-BE49-F238E27FC236}">
                  <a16:creationId xmlns:a16="http://schemas.microsoft.com/office/drawing/2014/main" id="{240234E6-5E32-2CD8-D381-00CD97337799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7</xdr:col>
      <xdr:colOff>657225</xdr:colOff>
      <xdr:row>2</xdr:row>
      <xdr:rowOff>57150</xdr:rowOff>
    </xdr:from>
    <xdr:to>
      <xdr:col>10</xdr:col>
      <xdr:colOff>555900</xdr:colOff>
      <xdr:row>7</xdr:row>
      <xdr:rowOff>184650</xdr:rowOff>
    </xdr:to>
    <xdr:grpSp>
      <xdr:nvGrpSpPr>
        <xdr:cNvPr id="81" name="Groupe 80">
          <a:extLst>
            <a:ext uri="{FF2B5EF4-FFF2-40B4-BE49-F238E27FC236}">
              <a16:creationId xmlns:a16="http://schemas.microsoft.com/office/drawing/2014/main" id="{F4679CC4-5FAC-7EE6-A332-F225BEAB1368}"/>
            </a:ext>
          </a:extLst>
        </xdr:cNvPr>
        <xdr:cNvGrpSpPr/>
      </xdr:nvGrpSpPr>
      <xdr:grpSpPr>
        <a:xfrm>
          <a:off x="8203142" y="628650"/>
          <a:ext cx="2883175" cy="1122333"/>
          <a:chOff x="8058150" y="662599"/>
          <a:chExt cx="2880000" cy="1089525"/>
        </a:xfrm>
      </xdr:grpSpPr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7D7C1E95-6940-4653-BAF4-51395B86D8C4}"/>
              </a:ext>
            </a:extLst>
          </xdr:cNvPr>
          <xdr:cNvSpPr/>
        </xdr:nvSpPr>
        <xdr:spPr>
          <a:xfrm>
            <a:off x="8236040" y="662599"/>
            <a:ext cx="1852349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Dépenses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 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variables</a:t>
            </a:r>
          </a:p>
        </xdr:txBody>
      </xdr:sp>
      <xdr:sp macro="" textlink="$G$37">
        <xdr:nvSpPr>
          <xdr:cNvPr id="30" name="Rectangle 29">
            <a:extLst>
              <a:ext uri="{FF2B5EF4-FFF2-40B4-BE49-F238E27FC236}">
                <a16:creationId xmlns:a16="http://schemas.microsoft.com/office/drawing/2014/main" id="{4CE49C62-72E5-449F-AE76-A5090B5B7D1D}"/>
              </a:ext>
            </a:extLst>
          </xdr:cNvPr>
          <xdr:cNvSpPr/>
        </xdr:nvSpPr>
        <xdr:spPr>
          <a:xfrm>
            <a:off x="8409778" y="955361"/>
            <a:ext cx="2176745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ED72ED9-4EB6-401D-BE6E-FE0D3553D13B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298,75 € </a:t>
            </a:fld>
            <a:endParaRPr lang="fr-FR" sz="32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0" name="Graphique 39">
            <a:extLst>
              <a:ext uri="{FF2B5EF4-FFF2-40B4-BE49-F238E27FC236}">
                <a16:creationId xmlns:a16="http://schemas.microsoft.com/office/drawing/2014/main" id="{F854E152-2C49-428C-AD4D-944E17CEDDD0}"/>
              </a:ext>
            </a:extLst>
          </xdr:cNvPr>
          <xdr:cNvGraphicFramePr>
            <a:graphicFrameLocks/>
          </xdr:cNvGraphicFramePr>
        </xdr:nvGraphicFramePr>
        <xdr:xfrm>
          <a:off x="8239116" y="1309626"/>
          <a:ext cx="2159998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$G$45">
        <xdr:nvSpPr>
          <xdr:cNvPr id="41" name="Rectangle 40">
            <a:extLst>
              <a:ext uri="{FF2B5EF4-FFF2-40B4-BE49-F238E27FC236}">
                <a16:creationId xmlns:a16="http://schemas.microsoft.com/office/drawing/2014/main" id="{3C404DD8-A43B-4624-9678-C881D16F39BF}"/>
              </a:ext>
            </a:extLst>
          </xdr:cNvPr>
          <xdr:cNvSpPr/>
        </xdr:nvSpPr>
        <xdr:spPr>
          <a:xfrm>
            <a:off x="10176807" y="1366776"/>
            <a:ext cx="618438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B3DAF78-22F4-4F84-8749-97FD3E451B6A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76%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8" name="Groupe 77">
            <a:extLst>
              <a:ext uri="{FF2B5EF4-FFF2-40B4-BE49-F238E27FC236}">
                <a16:creationId xmlns:a16="http://schemas.microsoft.com/office/drawing/2014/main" id="{CE8D98D0-2DCA-4F6D-914E-E4D8F97A2413}"/>
              </a:ext>
            </a:extLst>
          </xdr:cNvPr>
          <xdr:cNvGrpSpPr/>
        </xdr:nvGrpSpPr>
        <xdr:grpSpPr>
          <a:xfrm>
            <a:off x="8058150" y="662599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9" name="Rectangle : avec coin arrondi 78">
              <a:extLst>
                <a:ext uri="{FF2B5EF4-FFF2-40B4-BE49-F238E27FC236}">
                  <a16:creationId xmlns:a16="http://schemas.microsoft.com/office/drawing/2014/main" id="{D793AB8A-BD8A-9DA3-6239-0BB9F33EEA06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0" name="Rectangle : avec coin arrondi 79">
              <a:extLst>
                <a:ext uri="{FF2B5EF4-FFF2-40B4-BE49-F238E27FC236}">
                  <a16:creationId xmlns:a16="http://schemas.microsoft.com/office/drawing/2014/main" id="{B279C58F-A57D-8213-E54F-ECFDC075DD97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69056</xdr:colOff>
      <xdr:row>1</xdr:row>
      <xdr:rowOff>14287</xdr:rowOff>
    </xdr:from>
    <xdr:to>
      <xdr:col>11</xdr:col>
      <xdr:colOff>431006</xdr:colOff>
      <xdr:row>7</xdr:row>
      <xdr:rowOff>185737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D8A9B1-D069-ECA2-5142-AE24BBA36B54}"/>
            </a:ext>
          </a:extLst>
        </xdr:cNvPr>
        <xdr:cNvSpPr/>
      </xdr:nvSpPr>
      <xdr:spPr>
        <a:xfrm>
          <a:off x="4641056" y="204787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PEA</a:t>
          </a:r>
        </a:p>
      </xdr:txBody>
    </xdr:sp>
    <xdr:clientData/>
  </xdr:twoCellAnchor>
  <xdr:twoCellAnchor>
    <xdr:from>
      <xdr:col>0</xdr:col>
      <xdr:colOff>176212</xdr:colOff>
      <xdr:row>1</xdr:row>
      <xdr:rowOff>14287</xdr:rowOff>
    </xdr:from>
    <xdr:to>
      <xdr:col>5</xdr:col>
      <xdr:colOff>538162</xdr:colOff>
      <xdr:row>7</xdr:row>
      <xdr:rowOff>185737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3722136-E28D-441C-8CEA-183DFE6783BC}"/>
            </a:ext>
          </a:extLst>
        </xdr:cNvPr>
        <xdr:cNvSpPr/>
      </xdr:nvSpPr>
      <xdr:spPr>
        <a:xfrm>
          <a:off x="176212" y="204787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Livret</a:t>
          </a:r>
          <a:r>
            <a:rPr lang="fr-FR" sz="1100" baseline="0">
              <a:latin typeface="Poppins" panose="00000500000000000000" pitchFamily="2" charset="0"/>
              <a:cs typeface="Poppins" panose="00000500000000000000" pitchFamily="2" charset="0"/>
            </a:rPr>
            <a:t> A</a:t>
          </a:r>
          <a:endParaRPr lang="fr-FR" sz="1100"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  <xdr:twoCellAnchor>
    <xdr:from>
      <xdr:col>19</xdr:col>
      <xdr:colOff>23812</xdr:colOff>
      <xdr:row>2</xdr:row>
      <xdr:rowOff>0</xdr:rowOff>
    </xdr:from>
    <xdr:to>
      <xdr:col>24</xdr:col>
      <xdr:colOff>385762</xdr:colOff>
      <xdr:row>8</xdr:row>
      <xdr:rowOff>171450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591C5EE-EE57-86DE-62B1-F484B9918757}"/>
            </a:ext>
          </a:extLst>
        </xdr:cNvPr>
        <xdr:cNvSpPr/>
      </xdr:nvSpPr>
      <xdr:spPr>
        <a:xfrm>
          <a:off x="14501812" y="381000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PEA</a:t>
          </a:r>
        </a:p>
      </xdr:txBody>
    </xdr:sp>
    <xdr:clientData/>
  </xdr:twoCellAnchor>
  <xdr:twoCellAnchor>
    <xdr:from>
      <xdr:col>11</xdr:col>
      <xdr:colOff>723900</xdr:colOff>
      <xdr:row>1</xdr:row>
      <xdr:rowOff>14287</xdr:rowOff>
    </xdr:from>
    <xdr:to>
      <xdr:col>17</xdr:col>
      <xdr:colOff>323850</xdr:colOff>
      <xdr:row>7</xdr:row>
      <xdr:rowOff>185737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5FB9CF5-F073-4ECC-A27F-6EBF85D1734D}"/>
            </a:ext>
          </a:extLst>
        </xdr:cNvPr>
        <xdr:cNvSpPr/>
      </xdr:nvSpPr>
      <xdr:spPr>
        <a:xfrm>
          <a:off x="9105900" y="204787"/>
          <a:ext cx="4171950" cy="1314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PER</a:t>
          </a:r>
          <a:endParaRPr lang="fr-FR" sz="1100"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4</xdr:row>
      <xdr:rowOff>47624</xdr:rowOff>
    </xdr:from>
    <xdr:to>
      <xdr:col>5</xdr:col>
      <xdr:colOff>1743075</xdr:colOff>
      <xdr:row>5</xdr:row>
      <xdr:rowOff>133349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D08EFE-AE27-6D38-49FB-6C0EF43F5D01}"/>
            </a:ext>
          </a:extLst>
        </xdr:cNvPr>
        <xdr:cNvSpPr/>
      </xdr:nvSpPr>
      <xdr:spPr>
        <a:xfrm>
          <a:off x="6848475" y="1114424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Annuler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5</xdr:col>
      <xdr:colOff>742950</xdr:colOff>
      <xdr:row>6</xdr:row>
      <xdr:rowOff>114300</xdr:rowOff>
    </xdr:from>
    <xdr:to>
      <xdr:col>5</xdr:col>
      <xdr:colOff>1762125</xdr:colOff>
      <xdr:row>7</xdr:row>
      <xdr:rowOff>200025</xdr:rowOff>
    </xdr:to>
    <xdr:sp macro="AjouterTransac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7E438B0-BAAD-4678-8243-621BCDC1498A}"/>
            </a:ext>
          </a:extLst>
        </xdr:cNvPr>
        <xdr:cNvSpPr/>
      </xdr:nvSpPr>
      <xdr:spPr>
        <a:xfrm>
          <a:off x="6867525" y="1714500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Ajouter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790575</xdr:colOff>
      <xdr:row>2</xdr:row>
      <xdr:rowOff>19050</xdr:rowOff>
    </xdr:from>
    <xdr:to>
      <xdr:col>7</xdr:col>
      <xdr:colOff>609600</xdr:colOff>
      <xdr:row>3</xdr:row>
      <xdr:rowOff>266700</xdr:rowOff>
    </xdr:to>
    <xdr:sp macro="AjouterTransactionPE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D710C97-D5C5-4460-970C-D0AC92ADE54C}"/>
            </a:ext>
          </a:extLst>
        </xdr:cNvPr>
        <xdr:cNvSpPr/>
      </xdr:nvSpPr>
      <xdr:spPr>
        <a:xfrm>
          <a:off x="9163050" y="571500"/>
          <a:ext cx="1200150" cy="52387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Poppins" panose="00000500000000000000" pitchFamily="2" charset="0"/>
              <a:cs typeface="Poppins" panose="00000500000000000000" pitchFamily="2" charset="0"/>
            </a:rPr>
            <a:t>Ajouter</a:t>
          </a:r>
          <a:endParaRPr lang="fr-FR" sz="1100">
            <a:solidFill>
              <a:sysClr val="windowText" lastClr="000000"/>
            </a:solidFill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17C5318-5089-4C92-AB36-5610DBA2A3C0}" name="Dépense_Dasboard" displayName="Dépense_Dasboard" ref="F25:H36" headerRowCount="0" totalsRowShown="0" headerRowDxfId="223" tableBorderDxfId="222" totalsRowBorderDxfId="221">
  <tableColumns count="3">
    <tableColumn id="1" xr3:uid="{8A6EED7A-5E52-4B83-8421-04FF0CB11C7C}" name="Colonne1" dataDxfId="220"/>
    <tableColumn id="2" xr3:uid="{BA34301A-ABB6-4D40-AB84-47786671EEB5}" name="Colonne2" dataDxfId="219"/>
    <tableColumn id="3" xr3:uid="{ECF3C4D3-E942-4DC3-A2EF-08FBD7AA87AE}" name="Colonne3" dataDxfId="2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B5D6831-F105-4B1F-BA9E-FF6E9E1B60CA}" name="Crédit_Dasboard" displayName="Crédit_Dasboard" ref="J25:L36" headerRowCount="0" totalsRowShown="0" headerRowDxfId="217" tableBorderDxfId="216" totalsRowBorderDxfId="215">
  <tableColumns count="3">
    <tableColumn id="1" xr3:uid="{427637AE-0251-4DE4-B236-CF3287006C8B}" name="Colonne1" dataDxfId="214"/>
    <tableColumn id="2" xr3:uid="{5A1BB8EE-AA1B-43EE-A7C9-76B015AF3957}" name="Colonne2" dataDxfId="213"/>
    <tableColumn id="3" xr3:uid="{893C91DC-7D3A-4769-910D-AC493C833B2D}" name="Colonne3" dataDxfId="21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06CC44B-EB1D-4122-9A25-7068280000D4}" name="Facture_Dasboard" displayName="Facture_Dasboard" ref="N25:P36" headerRowCount="0" totalsRowShown="0" headerRowDxfId="211" tableBorderDxfId="210" totalsRowBorderDxfId="209">
  <tableColumns count="3">
    <tableColumn id="1" xr3:uid="{DF14A675-337B-4069-A1B1-AA79E46309A8}" name="Colonne1" dataDxfId="208"/>
    <tableColumn id="2" xr3:uid="{45452D42-A07D-47F0-BC06-22AC435054D3}" name="Colonne2" dataDxfId="207"/>
    <tableColumn id="3" xr3:uid="{A9DF9AF1-5463-4444-8869-092210C362AF}" name="Colonne3" dataDxfId="20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EBB4137-8767-49B7-A533-A03CC0D65AF3}" name="Epargne_Dasboard" displayName="Epargne_Dasboard" ref="R25:T36" headerRowCount="0" totalsRowShown="0" headerRowDxfId="205" tableBorderDxfId="204" totalsRowBorderDxfId="203">
  <tableColumns count="3">
    <tableColumn id="1" xr3:uid="{8D2129FB-4C73-4C25-9C6F-3640C95C6D1C}" name="Colonne1" dataDxfId="202"/>
    <tableColumn id="2" xr3:uid="{93F8AB31-6744-4F92-B773-F0B981FF20BA}" name="Colonne2" dataDxfId="201"/>
    <tableColumn id="3" xr3:uid="{15E6A08B-0299-4D9A-BAEC-88C4979AB10E}" name="Colonne3" dataDxfId="20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E24978-E2C6-473F-95FF-2CD5A6A849E3}" name="Revenu_Dasboard" displayName="Revenu_Dasboard" ref="B25:D36" headerRowCount="0" totalsRowShown="0" headerRowDxfId="199" tableBorderDxfId="198" totalsRowBorderDxfId="197">
  <tableColumns count="3">
    <tableColumn id="1" xr3:uid="{BB2D878D-89B8-4D89-B19E-35F945FBD921}" name="Colonne1" dataDxfId="196"/>
    <tableColumn id="2" xr3:uid="{309492B7-A05F-42A2-A55E-8F788EC14D00}" name="Colonne2" dataDxfId="195"/>
    <tableColumn id="3" xr3:uid="{BAFA91C1-D4FF-4A8C-A15C-FB1E54199969}" name="Colonne3" dataDxfId="194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B4581BC-CD51-4118-8F94-9DEF0350167C}" name="Transaction" displayName="Transaction" ref="B11:F28" totalsRowCount="1" headerRowDxfId="193" dataDxfId="191" headerRowBorderDxfId="192" tableBorderDxfId="190" totalsRowBorderDxfId="189">
  <autoFilter ref="B11:F27" xr:uid="{5B4581BC-CD51-4118-8F94-9DEF0350167C}">
    <filterColumn colId="1">
      <filters>
        <filter val="Revenue"/>
      </filters>
    </filterColumn>
  </autoFilter>
  <sortState xmlns:xlrd2="http://schemas.microsoft.com/office/spreadsheetml/2017/richdata2" ref="B12:F27">
    <sortCondition descending="1" ref="B11:B27"/>
  </sortState>
  <tableColumns count="5">
    <tableColumn id="1" xr3:uid="{7CE5EA59-5657-4810-8BBB-AB5A3241052F}" name="Date" totalsRowLabel="Total" dataDxfId="188" totalsRowDxfId="4"/>
    <tableColumn id="2" xr3:uid="{D833BA6B-3C08-4156-AC8E-30A6EFFB4212}" name="Type" dataDxfId="187" totalsRowDxfId="3"/>
    <tableColumn id="3" xr3:uid="{603F6232-D75D-4BD9-BB1E-6511F9F8D0DC}" name="Categorie" dataDxfId="186" totalsRowDxfId="2"/>
    <tableColumn id="4" xr3:uid="{8CD4465D-B3CB-4478-A4D1-E7FFFFE2728E}" name="Montant" totalsRowFunction="sum" dataDxfId="185" totalsRowDxfId="1"/>
    <tableColumn id="5" xr3:uid="{A2116853-9250-48E9-B98E-B1C608FB38B0}" name="Commentaire" dataDxfId="184" totalsRowDxfId="0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EB874-20AB-492B-9554-E8F57F13F4AD}" name="Revenue_budget" displayName="Revenue_budget" ref="B5:O9" totalsRowCount="1" headerRowDxfId="183" dataDxfId="181" totalsRowDxfId="179" headerRowBorderDxfId="182" tableBorderDxfId="180">
  <autoFilter ref="B5:O8" xr:uid="{5AAEB874-20AB-492B-9554-E8F57F13F4AD}"/>
  <tableColumns count="14">
    <tableColumn id="1" xr3:uid="{79FC53E7-25D2-44AE-9ED8-F690FF786316}" name="Revenu" totalsRowLabel="Total" dataDxfId="178" totalsRowDxfId="177"/>
    <tableColumn id="2" xr3:uid="{BE48A0F3-5C84-4208-9DDC-8B42615D59C3}" name="Janvier" totalsRowFunction="sum" dataDxfId="176" totalsRowDxfId="175"/>
    <tableColumn id="3" xr3:uid="{FC9012FE-6A2F-4EDE-AF6D-6C3999ABE726}" name="Février" totalsRowFunction="sum" dataDxfId="174" totalsRowDxfId="173"/>
    <tableColumn id="4" xr3:uid="{42AF40F3-35A6-4887-B963-02D3967ADC7A}" name="Mars" totalsRowFunction="sum" dataDxfId="172" totalsRowDxfId="171"/>
    <tableColumn id="5" xr3:uid="{132D8DEE-4A28-41E1-866A-32C05842FD2D}" name="Avril" totalsRowFunction="sum" dataDxfId="170" totalsRowDxfId="169"/>
    <tableColumn id="6" xr3:uid="{64B0AC69-110A-499B-915F-1B1BE6E133EB}" name="Mai" totalsRowFunction="sum" dataDxfId="168" totalsRowDxfId="167"/>
    <tableColumn id="7" xr3:uid="{25386703-5472-4677-90CC-2B86EB226FCF}" name="Juin" totalsRowFunction="sum" dataDxfId="166" totalsRowDxfId="165"/>
    <tableColumn id="8" xr3:uid="{1F093721-0902-4F2C-AB4E-F98A8911D7F1}" name="Juillet" totalsRowFunction="sum" dataDxfId="164" totalsRowDxfId="163"/>
    <tableColumn id="9" xr3:uid="{91227AFE-C107-4EBA-B68E-914247E26E17}" name="Aout" totalsRowFunction="sum" dataDxfId="162" totalsRowDxfId="161"/>
    <tableColumn id="10" xr3:uid="{ED1C9AFF-D2E5-4D76-871D-397C90BC7234}" name="Septembre" totalsRowFunction="sum" dataDxfId="160" totalsRowDxfId="159"/>
    <tableColumn id="11" xr3:uid="{CF904C83-FCCE-469F-8E28-F264A409D34B}" name="Octobre" totalsRowFunction="sum" dataDxfId="158" totalsRowDxfId="157"/>
    <tableColumn id="12" xr3:uid="{1D75B36C-E759-40CC-907A-DB068BEF2A25}" name="Novembre" totalsRowFunction="sum" dataDxfId="156" totalsRowDxfId="155"/>
    <tableColumn id="13" xr3:uid="{8917865F-A92A-402F-B31A-541A48A51B17}" name="Décembre" totalsRowFunction="sum" dataDxfId="154" totalsRowDxfId="153"/>
    <tableColumn id="14" xr3:uid="{CFE98347-14CC-4DC6-BB9B-8EF72DF27A20}" name="Total" totalsRowFunction="sum" dataDxfId="152" totalsRowDxfId="151">
      <calculatedColumnFormula>SUM(Revenue_budget[[#This Row],[Janvier]:[Décembre]])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A6EC9-482D-49EE-B09B-C1679CDE5EF7}" name="Depense_budget" displayName="Depense_budget" ref="B13:O24" totalsRowCount="1" headerRowDxfId="150" dataDxfId="148" totalsRowDxfId="146" headerRowBorderDxfId="149" tableBorderDxfId="147">
  <autoFilter ref="B13:O23" xr:uid="{46FA6EC9-482D-49EE-B09B-C1679CDE5EF7}"/>
  <sortState xmlns:xlrd2="http://schemas.microsoft.com/office/spreadsheetml/2017/richdata2" ref="B14:O23">
    <sortCondition ref="B14:B23"/>
  </sortState>
  <tableColumns count="14">
    <tableColumn id="1" xr3:uid="{BD8B449B-76A0-4C64-947C-2C1B7B00687C}" name="Depense" totalsRowLabel="Total" dataDxfId="145" totalsRowDxfId="144"/>
    <tableColumn id="2" xr3:uid="{6CCEA5D1-B947-496A-8806-697270F8CF6F}" name="Janvier" totalsRowFunction="sum" dataDxfId="143" totalsRowDxfId="142"/>
    <tableColumn id="3" xr3:uid="{FABC6010-723C-4B26-AE10-4AB4CF32CA5D}" name="Février" totalsRowFunction="sum" dataDxfId="141" totalsRowDxfId="140"/>
    <tableColumn id="4" xr3:uid="{773D4982-BF77-404B-B697-764693884BC7}" name="Mars" totalsRowFunction="sum" dataDxfId="139" totalsRowDxfId="138"/>
    <tableColumn id="5" xr3:uid="{07C2735F-DEAF-40F6-89C9-567477D08931}" name="Avril" totalsRowFunction="sum" dataDxfId="137" totalsRowDxfId="136"/>
    <tableColumn id="6" xr3:uid="{02C309E1-5A7F-406B-B06D-8D9F2FC1A8E8}" name="Mai" totalsRowFunction="sum" dataDxfId="135" totalsRowDxfId="134"/>
    <tableColumn id="7" xr3:uid="{A0BF1152-6D9B-442A-AAE5-96947A7D281B}" name="Juin" totalsRowFunction="sum" dataDxfId="133" totalsRowDxfId="132"/>
    <tableColumn id="8" xr3:uid="{328D4DF1-3B47-489F-8738-35636F2B89A9}" name="Juillet" totalsRowFunction="sum" dataDxfId="131" totalsRowDxfId="130"/>
    <tableColumn id="9" xr3:uid="{9FE9AB2C-4D8D-431F-B42F-D9DE2961E74E}" name="Aout" totalsRowFunction="sum" dataDxfId="129" totalsRowDxfId="128"/>
    <tableColumn id="10" xr3:uid="{937ED34D-839B-4F5F-B672-0AFCFBD35BC1}" name="Septembre" totalsRowFunction="sum" dataDxfId="127" totalsRowDxfId="126"/>
    <tableColumn id="11" xr3:uid="{6DBA1A4E-8B8C-4687-96C8-2422B905D3CC}" name="Octobre" totalsRowFunction="sum" dataDxfId="125" totalsRowDxfId="124"/>
    <tableColumn id="12" xr3:uid="{AE399A42-3D95-49DB-B017-8EBEB5A1F33A}" name="Novembre" totalsRowFunction="sum" dataDxfId="123" totalsRowDxfId="122"/>
    <tableColumn id="13" xr3:uid="{764E28A6-B084-4939-9BFB-2B35DDD8DD69}" name="Décembre" totalsRowFunction="sum" dataDxfId="121" totalsRowDxfId="120"/>
    <tableColumn id="14" xr3:uid="{431AE47E-0E00-4022-9D77-B1CE494BAEBD}" name="Total" totalsRowFunction="sum" dataDxfId="119" totalsRowDxfId="118">
      <calculatedColumnFormula>SUM(Depense_budget[[#This Row],[Janvier]:[Décembre]])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2CB8B2-1682-489C-921F-A6042042FDF8}" name="Credit_budget" displayName="Credit_budget" ref="B28:O32" totalsRowCount="1" headerRowDxfId="117" dataDxfId="115" totalsRowDxfId="113" headerRowBorderDxfId="116" tableBorderDxfId="114">
  <autoFilter ref="B28:O31" xr:uid="{FC2CB8B2-1682-489C-921F-A6042042FDF8}"/>
  <sortState xmlns:xlrd2="http://schemas.microsoft.com/office/spreadsheetml/2017/richdata2" ref="B29:O31">
    <sortCondition ref="B29:B31"/>
  </sortState>
  <tableColumns count="14">
    <tableColumn id="1" xr3:uid="{4DBC91BC-E16B-44FF-B75E-8DE9D653A454}" name="Credit" totalsRowLabel="Total" dataDxfId="112" totalsRowDxfId="111"/>
    <tableColumn id="2" xr3:uid="{FA4917A6-311E-4D68-862A-338E56133956}" name="Janvier" totalsRowFunction="sum" dataDxfId="110" totalsRowDxfId="109"/>
    <tableColumn id="3" xr3:uid="{51453649-49FF-41ED-B5E5-22E0C5B571BA}" name="Février" totalsRowFunction="sum" dataDxfId="108" totalsRowDxfId="107"/>
    <tableColumn id="4" xr3:uid="{C0863532-727A-4346-8B37-CE031AFB9423}" name="Mars" totalsRowFunction="sum" dataDxfId="106" totalsRowDxfId="105"/>
    <tableColumn id="5" xr3:uid="{16068CBA-F6FA-4C9B-9F0B-E1DF7EDDC8B0}" name="Avril" totalsRowFunction="sum" dataDxfId="104" totalsRowDxfId="103"/>
    <tableColumn id="6" xr3:uid="{75B427C5-C5DF-4567-97A8-7A710A27CC5E}" name="Mai" totalsRowFunction="sum" dataDxfId="102" totalsRowDxfId="101"/>
    <tableColumn id="7" xr3:uid="{F56351BC-D759-4A8B-B861-F138DEC8050A}" name="Juin" totalsRowFunction="sum" dataDxfId="100" totalsRowDxfId="99"/>
    <tableColumn id="8" xr3:uid="{C4AF1CF7-2CE6-4672-B87E-6CF1B2F81DB2}" name="Juillet" totalsRowFunction="sum" dataDxfId="98" totalsRowDxfId="97"/>
    <tableColumn id="9" xr3:uid="{408D7828-E602-4780-94A4-19D6DEBA4E76}" name="Aout" totalsRowFunction="sum" dataDxfId="96" totalsRowDxfId="95"/>
    <tableColumn id="10" xr3:uid="{187CE92B-8447-4161-8CDF-51A7F95C8BE7}" name="Septembre" totalsRowFunction="sum" dataDxfId="94" totalsRowDxfId="93"/>
    <tableColumn id="11" xr3:uid="{84F8AC3F-35B7-4152-894F-C86414EC0395}" name="Octobre" totalsRowFunction="sum" dataDxfId="92" totalsRowDxfId="91"/>
    <tableColumn id="12" xr3:uid="{EDB1BFF7-FD4D-43D5-98C6-0DDC11E44F0F}" name="Novembre" totalsRowFunction="sum" dataDxfId="90" totalsRowDxfId="89"/>
    <tableColumn id="13" xr3:uid="{BCFB5000-F001-4420-A011-CA98353F2EB1}" name="Décembre" totalsRowFunction="sum" dataDxfId="88" totalsRowDxfId="87"/>
    <tableColumn id="14" xr3:uid="{3604553D-F998-4B5B-928A-7BB0BCEBA326}" name="Total" totalsRowFunction="sum" dataDxfId="86" totalsRowDxfId="85">
      <calculatedColumnFormula>SUM(Credit_budget[[#This Row],[Janvier]:[Décembre]])</calculatedColumnFormula>
    </tableColumn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93E3A19-30C3-417D-A754-9040203D29EC}" name="Epargne_budget" displayName="Epargne_budget" ref="B52:O57" totalsRowCount="1" headerRowDxfId="84" dataDxfId="82" totalsRowDxfId="80" headerRowBorderDxfId="83" tableBorderDxfId="81">
  <autoFilter ref="B52:O56" xr:uid="{A93E3A19-30C3-417D-A754-9040203D29EC}"/>
  <sortState xmlns:xlrd2="http://schemas.microsoft.com/office/spreadsheetml/2017/richdata2" ref="B53:O56">
    <sortCondition ref="B53:B56"/>
  </sortState>
  <tableColumns count="14">
    <tableColumn id="1" xr3:uid="{A005563B-3872-430E-BCD5-389271B83C39}" name="Epargnes" totalsRowLabel="Total" dataDxfId="79" totalsRowDxfId="78"/>
    <tableColumn id="2" xr3:uid="{D375AF1C-AD25-4811-8EE0-8B0D0C040254}" name="Janvier" totalsRowFunction="sum" dataDxfId="77" totalsRowDxfId="76"/>
    <tableColumn id="3" xr3:uid="{262D95EA-38F0-49B7-9723-255FBA2C7C6C}" name="Février" totalsRowFunction="sum" dataDxfId="75" totalsRowDxfId="74"/>
    <tableColumn id="4" xr3:uid="{D4D631EC-A10F-471F-ADE8-524A387F9423}" name="Mars" totalsRowFunction="sum" dataDxfId="73" totalsRowDxfId="72"/>
    <tableColumn id="5" xr3:uid="{38CB5A30-102D-4AFB-8503-7877E081E886}" name="Avril" totalsRowFunction="sum" dataDxfId="71" totalsRowDxfId="70"/>
    <tableColumn id="6" xr3:uid="{796E490B-5166-44F2-ADC4-ECC411985C76}" name="Mai" totalsRowFunction="sum" dataDxfId="69" totalsRowDxfId="68"/>
    <tableColumn id="7" xr3:uid="{6E35936D-4763-43F5-9D6D-E6E7803FDEE4}" name="Juin" totalsRowFunction="sum" dataDxfId="67" totalsRowDxfId="66"/>
    <tableColumn id="8" xr3:uid="{6FD2F468-DB82-4DF2-A3F5-18A08BFF39A8}" name="Juillet" totalsRowFunction="sum" dataDxfId="65" totalsRowDxfId="64"/>
    <tableColumn id="9" xr3:uid="{2120E864-5131-4F1E-BD2C-28D60C905E22}" name="Aout" totalsRowFunction="sum" dataDxfId="63" totalsRowDxfId="62"/>
    <tableColumn id="10" xr3:uid="{053A8529-182B-4C5B-A9CB-4461620284CD}" name="Septembre" totalsRowFunction="sum" dataDxfId="61" totalsRowDxfId="60"/>
    <tableColumn id="11" xr3:uid="{05FB8252-FC66-4A28-849A-33AA87A24B20}" name="Octobre" totalsRowFunction="sum" dataDxfId="59" totalsRowDxfId="58"/>
    <tableColumn id="12" xr3:uid="{3320793B-898A-47C6-830B-5BA6532A2627}" name="Novembre" totalsRowFunction="sum" dataDxfId="57" totalsRowDxfId="56"/>
    <tableColumn id="13" xr3:uid="{88CD0B04-3BE9-4CE0-B357-B0F79DEFC737}" name="Décembre" totalsRowFunction="sum" dataDxfId="55" totalsRowDxfId="54"/>
    <tableColumn id="14" xr3:uid="{E808CF44-9331-4B83-B3A3-C67A82C20371}" name="Total" totalsRowFunction="sum" dataDxfId="53" totalsRowDxfId="52">
      <calculatedColumnFormula>SUM(Epargne_budget[[#This Row],[Janvier]:[Décembre]])</calculatedColumnFormula>
    </tableColumn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B9D551B-26C7-4BEF-B653-07E103977DDC}" name="Facture_budget" displayName="Facture_budget" ref="B36:O48" totalsRowCount="1" headerRowDxfId="51" dataDxfId="49" totalsRowDxfId="47" headerRowBorderDxfId="50" tableBorderDxfId="48">
  <autoFilter ref="B36:O47" xr:uid="{EB9D551B-26C7-4BEF-B653-07E103977DDC}"/>
  <sortState xmlns:xlrd2="http://schemas.microsoft.com/office/spreadsheetml/2017/richdata2" ref="B37:O47">
    <sortCondition ref="B38:B47"/>
  </sortState>
  <tableColumns count="14">
    <tableColumn id="1" xr3:uid="{BDECE774-45C6-4C9C-B12F-D9D184F02A7B}" name="Facture" totalsRowLabel="Total" dataDxfId="46" totalsRowDxfId="45"/>
    <tableColumn id="2" xr3:uid="{EE704483-6EB4-42B4-BD7C-CD797EBD660B}" name="Janvier" totalsRowFunction="sum" dataDxfId="44" totalsRowDxfId="43"/>
    <tableColumn id="3" xr3:uid="{5942766C-233B-40E2-91D8-91F5E7D91F72}" name="Février" totalsRowFunction="sum" dataDxfId="42" totalsRowDxfId="41"/>
    <tableColumn id="4" xr3:uid="{6F3A3ED1-C306-461E-B411-116F7B01F221}" name="Mars" totalsRowFunction="sum" dataDxfId="40" totalsRowDxfId="39"/>
    <tableColumn id="5" xr3:uid="{03E3B4A6-4FEE-4CB3-8069-575AA1FD7121}" name="Avril" totalsRowFunction="sum" dataDxfId="38" totalsRowDxfId="37"/>
    <tableColumn id="6" xr3:uid="{64F7EDA7-A787-4AC3-949F-B7B94ED33385}" name="Mai" totalsRowFunction="sum" dataDxfId="36" totalsRowDxfId="35"/>
    <tableColumn id="7" xr3:uid="{288EA502-E916-4FE1-B1C7-A9964571C673}" name="Juin" totalsRowFunction="sum" dataDxfId="34" totalsRowDxfId="33"/>
    <tableColumn id="8" xr3:uid="{64441BC9-64D3-4594-8FBD-B1BBEF5ABFCF}" name="Juillet" totalsRowFunction="sum" dataDxfId="32" totalsRowDxfId="31"/>
    <tableColumn id="9" xr3:uid="{A326C7F1-C444-472D-ACC1-758D26398B17}" name="Aout" totalsRowFunction="sum" dataDxfId="30" totalsRowDxfId="29"/>
    <tableColumn id="10" xr3:uid="{76BAD525-CA92-4BF0-9527-B0D2203135E5}" name="Septembre" totalsRowFunction="sum" dataDxfId="28" totalsRowDxfId="27"/>
    <tableColumn id="11" xr3:uid="{21C27870-AB1F-4389-B14C-A98373F7ED4A}" name="Octobre" totalsRowFunction="sum" dataDxfId="26" totalsRowDxfId="25"/>
    <tableColumn id="12" xr3:uid="{8B47CB48-68D4-403C-98E2-A180EB84DED1}" name="Novembre" totalsRowFunction="sum" dataDxfId="24" totalsRowDxfId="23"/>
    <tableColumn id="13" xr3:uid="{E25EA44B-88B9-4DC1-8A22-EEFDCFE91CB6}" name="Décembre" totalsRowFunction="sum" dataDxfId="22" totalsRowDxfId="21"/>
    <tableColumn id="14" xr3:uid="{CE487F58-6DD0-46A8-BD59-E84795385A1D}" name="Total" totalsRowFunction="sum" dataDxfId="20" totalsRowDxfId="19">
      <calculatedColumnFormula>SUM(Facture_budget[[#This Row],[Janvier]:[Décembre]])</calculatedColumnFormula>
    </tableColumn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4EB1D07-7D76-4A05-A57F-25B359FAE888}" name="Liste_Transaction_PEA" displayName="Liste_Transaction_PEA" ref="B10:H14" totalsRowShown="0" headerRowDxfId="18" dataDxfId="17">
  <autoFilter ref="B10:H14" xr:uid="{44EB1D07-7D76-4A05-A57F-25B359FAE888}"/>
  <sortState xmlns:xlrd2="http://schemas.microsoft.com/office/spreadsheetml/2017/richdata2" ref="B11:H14">
    <sortCondition descending="1" ref="B10:B14"/>
  </sortState>
  <tableColumns count="7">
    <tableColumn id="1" xr3:uid="{7ACB802F-A620-407E-AB1D-86618EFA8B1D}" name="Date" dataDxfId="16"/>
    <tableColumn id="6" xr3:uid="{75842394-77E1-4E64-8E3C-868990ED458C}" name="Opération" dataDxfId="15"/>
    <tableColumn id="7" xr3:uid="{43A46457-820B-47F4-972B-0E16ABC5D450}" name="Type" dataDxfId="14"/>
    <tableColumn id="2" xr3:uid="{4CD602DF-59E1-4816-8243-CBB0358F781F}" name="Nom" dataDxfId="13"/>
    <tableColumn id="3" xr3:uid="{CBEBAF63-39A6-4844-BD77-3BAFBE803FAD}" name="Quantité" dataDxfId="12"/>
    <tableColumn id="4" xr3:uid="{67A3F77F-8AC1-4459-A59C-BFADFFF5075F}" name="Prix unitaire" dataDxfId="11"/>
    <tableColumn id="5" xr3:uid="{E2EC7832-3617-43D1-A5A8-E83A032887A8}" name="Montant Total" dataDxfId="10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C9B9D0-5BCE-4453-9A18-F29CC52250F8}" name="Type_PEA" displayName="Type_PEA" ref="B2:B5" totalsRowShown="0" headerRowDxfId="9" dataDxfId="8">
  <autoFilter ref="B2:B5" xr:uid="{EFC9B9D0-5BCE-4453-9A18-F29CC52250F8}"/>
  <tableColumns count="1">
    <tableColumn id="1" xr3:uid="{25AAC80F-3767-4466-8414-0B241DCAFF78}" name="Opération" dataDxfId="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A714C9-29C3-4D4E-9BFE-6931A5EBFF8F}" name="Tableau12" displayName="Tableau12" ref="C2:C5" totalsRowShown="0" dataDxfId="6">
  <autoFilter ref="C2:C5" xr:uid="{53A714C9-29C3-4D4E-9BFE-6931A5EBFF8F}"/>
  <tableColumns count="1">
    <tableColumn id="1" xr3:uid="{2A660074-0665-45EF-9088-596141628566}" name="Typ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1389-34DC-43D2-AF7A-29E5E1A95BD6}">
  <sheetPr codeName="Feuil1"/>
  <dimension ref="B1:T63"/>
  <sheetViews>
    <sheetView showGridLines="0" topLeftCell="H1" zoomScale="90" zoomScaleNormal="90" workbookViewId="0">
      <selection activeCell="D42" sqref="D42"/>
    </sheetView>
  </sheetViews>
  <sheetFormatPr baseColWidth="10" defaultRowHeight="15" x14ac:dyDescent="0.25"/>
  <cols>
    <col min="1" max="1" width="2.7109375" customWidth="1"/>
    <col min="2" max="2" width="24.28515625" customWidth="1"/>
    <col min="3" max="3" width="20.7109375" customWidth="1"/>
    <col min="4" max="4" width="20.28515625" customWidth="1"/>
    <col min="5" max="5" width="2.7109375" customWidth="1"/>
    <col min="6" max="6" width="22.7109375" customWidth="1"/>
    <col min="7" max="7" width="19.7109375" customWidth="1"/>
    <col min="8" max="8" width="19.28515625" bestFit="1" customWidth="1"/>
    <col min="9" max="9" width="2.7109375" customWidth="1"/>
    <col min="10" max="10" width="22.7109375" customWidth="1"/>
    <col min="11" max="11" width="14.7109375" customWidth="1"/>
    <col min="12" max="12" width="18.7109375" customWidth="1"/>
    <col min="13" max="13" width="2.7109375" customWidth="1"/>
    <col min="14" max="14" width="23.7109375" customWidth="1"/>
    <col min="15" max="15" width="18.7109375" customWidth="1"/>
    <col min="16" max="16" width="19.28515625" bestFit="1" customWidth="1"/>
    <col min="17" max="17" width="2.7109375" customWidth="1"/>
    <col min="18" max="18" width="23.7109375" customWidth="1"/>
    <col min="19" max="19" width="16.28515625" customWidth="1"/>
    <col min="20" max="20" width="18.7109375" customWidth="1"/>
  </cols>
  <sheetData>
    <row r="1" spans="2:20" ht="30" customHeight="1" x14ac:dyDescent="0.25"/>
    <row r="4" spans="2:20" s="18" customFormat="1" ht="18" x14ac:dyDescent="0.45">
      <c r="B4" s="17"/>
      <c r="T4"/>
    </row>
    <row r="5" spans="2:20" x14ac:dyDescent="0.25">
      <c r="F5" s="18"/>
      <c r="G5" s="18"/>
    </row>
    <row r="6" spans="2:20" x14ac:dyDescent="0.25">
      <c r="B6" s="107" t="s">
        <v>3</v>
      </c>
      <c r="C6" s="107"/>
      <c r="D6" s="107"/>
    </row>
    <row r="7" spans="2:20" x14ac:dyDescent="0.25">
      <c r="B7" s="107"/>
      <c r="C7" s="107"/>
      <c r="D7" s="107"/>
    </row>
    <row r="25" spans="2:20" ht="21" customHeight="1" x14ac:dyDescent="0.25">
      <c r="B25" s="32" t="s">
        <v>36</v>
      </c>
      <c r="C25" s="33" t="s">
        <v>37</v>
      </c>
      <c r="D25" s="34" t="s">
        <v>38</v>
      </c>
      <c r="E25" s="30"/>
      <c r="F25" s="35" t="s">
        <v>13</v>
      </c>
      <c r="G25" s="36" t="s">
        <v>37</v>
      </c>
      <c r="H25" s="37" t="s">
        <v>38</v>
      </c>
      <c r="I25" s="30"/>
      <c r="J25" s="38" t="s">
        <v>35</v>
      </c>
      <c r="K25" s="39" t="s">
        <v>37</v>
      </c>
      <c r="L25" s="40" t="s">
        <v>38</v>
      </c>
      <c r="M25" s="30"/>
      <c r="N25" s="38" t="s">
        <v>42</v>
      </c>
      <c r="O25" s="39" t="s">
        <v>37</v>
      </c>
      <c r="P25" s="40" t="s">
        <v>38</v>
      </c>
      <c r="Q25" s="30"/>
      <c r="R25" s="41" t="s">
        <v>39</v>
      </c>
      <c r="S25" s="42" t="s">
        <v>37</v>
      </c>
      <c r="T25" s="43" t="s">
        <v>38</v>
      </c>
    </row>
    <row r="26" spans="2:20" ht="21" customHeight="1" x14ac:dyDescent="0.25">
      <c r="B26" s="52" t="s">
        <v>11</v>
      </c>
      <c r="C26" s="55" cm="1">
        <f t="array" ref="C26">IFERROR(IF(B$6="Tous les mois",SUMIF(Transaction[Categorie],Revenu_Dasboard[[#This Row],[Colonne1]],Transaction[Montant]),SUMPRODUCT(((MONTH(Transaction[Date])=MONTH(DATEVALUE("1"&amp;$B$6&amp;"2000")))*(B26=Transaction[Categorie]))*(Transaction[Montant]))),"")</f>
        <v>2255.81</v>
      </c>
      <c r="D26" s="56">
        <f>IFERROR(IF(B$6="Tous les mois",VLOOKUP(Revenu_Dasboard[[#This Row],[Colonne1]],Revenue_budget[],14,0),INDEX(Revenue_budget[[Janvier]:[Décembre]],MATCH(B26,Revenue_budget[Revenu],0),MATCH(B$6,Revenue_budget[[#Headers],[Janvier]:[Décembre]],0))),"")</f>
        <v>13424</v>
      </c>
      <c r="E26" s="57"/>
      <c r="F26" s="54" t="s">
        <v>14</v>
      </c>
      <c r="G26" s="58" cm="1">
        <f t="array" ref="G26">IFERROR(IF(B$6="Tous les mois",SUMIF(Transaction[Categorie],Dépense_Dasboard[[#This Row],[Colonne1]],Transaction[Montant]),SUMPRODUCT(((MONTH(Transaction[Date])=MONTH(DATEVALUE("1"&amp;$B$6&amp;"2000")))*(F26=Transaction[Categorie]))*(Transaction[Montant]))),"")</f>
        <v>38</v>
      </c>
      <c r="H26" s="59">
        <f>IFERROR(IF(B$6="Tous les mois",VLOOKUP(F26,Depense_budget[],14,0),INDEX(Depense_budget[[Janvier]:[Décembre]],MATCH(F26,Depense_budget[Depense],0),MATCH(B$6,Depense_budget[[#Headers],[Janvier]:[Décembre]],0))),"")</f>
        <v>44.97</v>
      </c>
      <c r="I26" s="57"/>
      <c r="J26" s="53" t="s">
        <v>21</v>
      </c>
      <c r="K26" s="60" cm="1">
        <f t="array" ref="K26">IFERROR(IF(B$6="Tous les mois",SUMIF(Transaction[Categorie],Crédit_Dasboard[[#This Row],[Colonne1]],Transaction[Montant]),SUMPRODUCT(((MONTH(Transaction[Date])=MONTH(DATEVALUE("1"&amp;$B$6&amp;"2000")))*(J26=Transaction[Categorie]))*(Transaction[Montant]))),"")</f>
        <v>0</v>
      </c>
      <c r="L26" s="56">
        <f>IFERROR(IF(B$6="Tous les mois",VLOOKUP(J26,Credit_budget[],14,0),INDEX(Credit_budget[[Janvier]:[Décembre]],MATCH(J26,Credit_budget[Credit],0),MATCH(B$6,Credit_budget[[#Headers],[Janvier]:[Décembre]],0))),"")</f>
        <v>0</v>
      </c>
      <c r="M26" s="57"/>
      <c r="N26" s="47" t="s">
        <v>52</v>
      </c>
      <c r="O26" s="60" cm="1">
        <f t="array" ref="O26">IFERROR(IF(B$6="Tous les mois",SUMIF(Transaction[Categorie],Facture_Dasboard[[#This Row],[Colonne1]],Transaction[Montant]),SUMPRODUCT(((MONTH(Transaction[Date])=MONTH(DATEVALUE("1"&amp;$B$6&amp;"2000")))*(N26=Transaction[Categorie]))*(Transaction[Montant]))),"")</f>
        <v>0</v>
      </c>
      <c r="P26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6" s="57"/>
      <c r="R26" s="53" t="s">
        <v>25</v>
      </c>
      <c r="S26" s="61" cm="1">
        <f t="array" ref="S26">IFERROR(IF(B$6="Tous les mois",SUMIF(Transaction[Categorie],Epargne_Dasboard[[#This Row],[Colonne1]],Transaction[Montant]),SUMPRODUCT(((MONTH(Transaction[Date])=MONTH(DATEVALUE("1"&amp;$B$6&amp;"2000")))*(R26=Transaction[Categorie]))*(Transaction[Montant]))),"")</f>
        <v>0</v>
      </c>
      <c r="T26" s="56">
        <f>IFERROR(IF(B$6="Tous les mois",VLOOKUP(R26,Epargne_budget[],14,0),INDEX(Epargne_budget[[Janvier]:[Décembre]],MATCH(R26,Epargne_budget[Epargnes],0),MATCH(B$6,Epargne_budget[[#Headers],[Janvier]:[Décembre]],0))),"")</f>
        <v>0</v>
      </c>
    </row>
    <row r="27" spans="2:20" ht="21" customHeight="1" x14ac:dyDescent="0.25">
      <c r="B27" s="52" t="s">
        <v>40</v>
      </c>
      <c r="C27" s="55" cm="1">
        <f t="array" ref="C27">IFERROR(IF(B$6="Tous les mois",SUMIF(Transaction[Categorie],Revenu_Dasboard[[#This Row],[Colonne1]],Transaction[Montant]),SUMPRODUCT(((MONTH(Transaction[Date])=MONTH(DATEVALUE("1"&amp;$B$6&amp;"2000")))*(B27=Transaction[Categorie]))*(Transaction[Montant]))),"")</f>
        <v>60.47</v>
      </c>
      <c r="D27" s="56">
        <f>IFERROR(IF(B$6="Tous les mois",VLOOKUP(Revenu_Dasboard[[#This Row],[Colonne1]],Revenue_budget[],14,0),INDEX(Revenue_budget[[Janvier]:[Décembre]],MATCH(B27,Revenue_budget[Revenu],0),MATCH(B$6,Revenue_budget[[#Headers],[Janvier]:[Décembre]],0))),"")</f>
        <v>0</v>
      </c>
      <c r="E27" s="57"/>
      <c r="F27" s="54" t="s">
        <v>41</v>
      </c>
      <c r="G27" s="58" cm="1">
        <f t="array" ref="G27">IFERROR(IF(B$6="Tous les mois",SUMIF(Transaction[Categorie],Dépense_Dasboard[[#This Row],[Colonne1]],Transaction[Montant]),SUMPRODUCT(((MONTH(Transaction[Date])=MONTH(DATEVALUE("1"&amp;$B$6&amp;"2000")))*(F27=Transaction[Categorie]))*(Transaction[Montant]))),"")</f>
        <v>0</v>
      </c>
      <c r="H27" s="59">
        <f>IFERROR(IF(B$6="Tous les mois",VLOOKUP(F27,Depense_budget[],14,0),INDEX(Depense_budget[[Janvier]:[Décembre]],MATCH(F27,Depense_budget[Depense],0),MATCH(B$6,Depense_budget[[#Headers],[Janvier]:[Décembre]],0))),"")</f>
        <v>350</v>
      </c>
      <c r="I27" s="57"/>
      <c r="J27" s="47" t="s">
        <v>22</v>
      </c>
      <c r="K27" s="60" cm="1">
        <f t="array" ref="K27">IFERROR(IF(B$6="Tous les mois",SUMIF(Transaction[Categorie],Crédit_Dasboard[[#This Row],[Colonne1]],Transaction[Montant]),SUMPRODUCT(((MONTH(Transaction[Date])=MONTH(DATEVALUE("1"&amp;$B$6&amp;"2000")))*(J27=Transaction[Categorie]))*(Transaction[Montant]))),"")</f>
        <v>0</v>
      </c>
      <c r="L27" s="56">
        <f>IFERROR(IF(B$6="Tous les mois",VLOOKUP(J27,Credit_budget[],14,0),INDEX(Credit_budget[[Janvier]:[Décembre]],MATCH(J27,Credit_budget[Credit],0),MATCH(B$6,Credit_budget[[#Headers],[Janvier]:[Décembre]],0))),"")</f>
        <v>0</v>
      </c>
      <c r="M27" s="57"/>
      <c r="N27" s="53" t="s">
        <v>50</v>
      </c>
      <c r="O27" s="60" cm="1">
        <f t="array" ref="O27">IFERROR(IF(B$6="Tous les mois",SUMIF(Transaction[Categorie],Facture_Dasboard[[#This Row],[Colonne1]],Transaction[Montant]),SUMPRODUCT(((MONTH(Transaction[Date])=MONTH(DATEVALUE("1"&amp;$B$6&amp;"2000")))*(N27=Transaction[Categorie]))*(Transaction[Montant]))),"")</f>
        <v>0</v>
      </c>
      <c r="P27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18.190000000000001</v>
      </c>
      <c r="Q27" s="57"/>
      <c r="R27" s="47" t="s">
        <v>26</v>
      </c>
      <c r="S27" s="61" cm="1">
        <f t="array" ref="S27">IFERROR(IF(B$6="Tous les mois",SUMIF(Transaction[Categorie],Epargne_Dasboard[[#This Row],[Colonne1]],Transaction[Montant]),SUMPRODUCT(((MONTH(Transaction[Date])=MONTH(DATEVALUE("1"&amp;$B$6&amp;"2000")))*(R27=Transaction[Categorie]))*(Transaction[Montant]))),"")</f>
        <v>0</v>
      </c>
      <c r="T27" s="56">
        <f>IFERROR(IF(B$6="Tous les mois",VLOOKUP(R27,Epargne_budget[],14,0),INDEX(Epargne_budget[[Janvier]:[Décembre]],MATCH(R27,Epargne_budget[Epargnes],0),MATCH(B$6,Epargne_budget[[#Headers],[Janvier]:[Décembre]],0))),"")</f>
        <v>203.16</v>
      </c>
    </row>
    <row r="28" spans="2:20" ht="21" customHeight="1" x14ac:dyDescent="0.25">
      <c r="B28" s="52"/>
      <c r="C28" s="55" cm="1">
        <f t="array" ref="C28">IFERROR(IF(B$6="Tous les mois",SUMIF(Transaction[Categorie],Revenu_Dasboard[[#This Row],[Colonne1]],Transaction[Montant]),SUMPRODUCT(((MONTH(Transaction[Date])=MONTH(DATEVALUE("1"&amp;$B$6&amp;"2000")))*(B28=Transaction[Categorie]))*(Transaction[Montant]))),"")</f>
        <v>0</v>
      </c>
      <c r="D28" s="56" t="str">
        <f>IFERROR(IF(B$6="Tous les mois",VLOOKUP(Revenu_Dasboard[[#This Row],[Colonne1]],Revenue_budget[],14,0),INDEX(Revenue_budget[[Janvier]:[Décembre]],MATCH(B28,Revenue_budget[Revenu],0),MATCH(B$6,Revenue_budget[[#Headers],[Janvier]:[Décembre]],0))),"")</f>
        <v/>
      </c>
      <c r="E28" s="57"/>
      <c r="F28" s="54" t="s">
        <v>15</v>
      </c>
      <c r="G28" s="58" cm="1">
        <f t="array" ref="G28">IFERROR(IF(B$6="Tous les mois",SUMIF(Transaction[Categorie],Dépense_Dasboard[[#This Row],[Colonne1]],Transaction[Montant]),SUMPRODUCT(((MONTH(Transaction[Date])=MONTH(DATEVALUE("1"&amp;$B$6&amp;"2000")))*(F28=Transaction[Categorie]))*(Transaction[Montant]))),"")</f>
        <v>0</v>
      </c>
      <c r="H28" s="59">
        <f>IFERROR(IF(B$6="Tous les mois",VLOOKUP(F28,Depense_budget[],14,0),INDEX(Depense_budget[[Janvier]:[Décembre]],MATCH(F28,Depense_budget[Depense],0),MATCH(B$6,Depense_budget[[#Headers],[Janvier]:[Décembre]],0))),"")</f>
        <v>0</v>
      </c>
      <c r="I28" s="57"/>
      <c r="J28" s="53" t="s">
        <v>23</v>
      </c>
      <c r="K28" s="60" cm="1">
        <f t="array" ref="K28">IFERROR(IF(B$6="Tous les mois",SUMIF(Transaction[Categorie],Crédit_Dasboard[[#This Row],[Colonne1]],Transaction[Montant]),SUMPRODUCT(((MONTH(Transaction[Date])=MONTH(DATEVALUE("1"&amp;$B$6&amp;"2000")))*(J28=Transaction[Categorie]))*(Transaction[Montant]))),"")</f>
        <v>0</v>
      </c>
      <c r="L28" s="56">
        <f>IFERROR(IF(B$6="Tous les mois",VLOOKUP(J28,Credit_budget[],14,0),INDEX(Credit_budget[[Janvier]:[Décembre]],MATCH(J28,Credit_budget[Credit],0),MATCH(B$6,Credit_budget[[#Headers],[Janvier]:[Décembre]],0))),"")</f>
        <v>0</v>
      </c>
      <c r="M28" s="57"/>
      <c r="N28" s="47" t="s">
        <v>51</v>
      </c>
      <c r="O28" s="60" cm="1">
        <f t="array" ref="O28">IFERROR(IF(B$6="Tous les mois",SUMIF(Transaction[Categorie],Facture_Dasboard[[#This Row],[Colonne1]],Transaction[Montant]),SUMPRODUCT(((MONTH(Transaction[Date])=MONTH(DATEVALUE("1"&amp;$B$6&amp;"2000")))*(N28=Transaction[Categorie]))*(Transaction[Montant]))),"")</f>
        <v>0</v>
      </c>
      <c r="P28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8" s="57"/>
      <c r="R28" s="47" t="s">
        <v>27</v>
      </c>
      <c r="S28" s="61" cm="1">
        <f t="array" ref="S28">IFERROR(IF(B$6="Tous les mois",SUMIF(Transaction[Categorie],Epargne_Dasboard[[#This Row],[Colonne1]],Transaction[Montant]),SUMPRODUCT(((MONTH(Transaction[Date])=MONTH(DATEVALUE("1"&amp;$B$6&amp;"2000")))*(R28=Transaction[Categorie]))*(Transaction[Montant]))),"")</f>
        <v>551.75</v>
      </c>
      <c r="T28" s="56">
        <f>IFERROR(IF(B$6="Tous les mois",VLOOKUP(R28,Epargne_budget[],14,0),INDEX(Epargne_budget[[Janvier]:[Décembre]],MATCH(R28,Epargne_budget[Epargnes],0),MATCH(B$6,Epargne_budget[[#Headers],[Janvier]:[Décembre]],0))),"")</f>
        <v>300</v>
      </c>
    </row>
    <row r="29" spans="2:20" ht="21" customHeight="1" x14ac:dyDescent="0.25">
      <c r="B29" s="52"/>
      <c r="C29" s="55" cm="1">
        <f t="array" ref="C29">IFERROR(IF(B$6="Tous les mois",SUMIF(Transaction[Categorie],Revenu_Dasboard[[#This Row],[Colonne1]],Transaction[Montant]),SUMPRODUCT(((MONTH(Transaction[Date])=MONTH(DATEVALUE("1"&amp;$B$6&amp;"2000")))*(B29=Transaction[Categorie]))*(Transaction[Montant]))),"")</f>
        <v>0</v>
      </c>
      <c r="D29" s="56" t="str">
        <f>IFERROR(IF(B$6="Tous les mois",VLOOKUP(Revenu_Dasboard[[#This Row],[Colonne1]],Revenue_budget[],14,0),INDEX(Revenue_budget[[Janvier]:[Décembre]],MATCH(B29,Revenue_budget[Revenu],0),MATCH(B$6,Revenue_budget[[#Headers],[Janvier]:[Décembre]],0))),"")</f>
        <v/>
      </c>
      <c r="E29" s="57"/>
      <c r="F29" s="54" t="s">
        <v>53</v>
      </c>
      <c r="G29" s="58" cm="1">
        <f t="array" ref="G29">IFERROR(IF(B$6="Tous les mois",SUMIF(Transaction[Categorie],Dépense_Dasboard[[#This Row],[Colonne1]],Transaction[Montant]),SUMPRODUCT(((MONTH(Transaction[Date])=MONTH(DATEVALUE("1"&amp;$B$6&amp;"2000")))*(F29=Transaction[Categorie]))*(Transaction[Montant]))),"")</f>
        <v>187.75</v>
      </c>
      <c r="H29" s="59">
        <f>IFERROR(IF(B$6="Tous les mois",VLOOKUP(F29,Depense_budget[],14,0),INDEX(Depense_budget[[Janvier]:[Décembre]],MATCH(F29,Depense_budget[Depense],0),MATCH(B$6,Depense_budget[[#Headers],[Janvier]:[Décembre]],0))),"")</f>
        <v>0</v>
      </c>
      <c r="I29" s="57"/>
      <c r="J29" s="52"/>
      <c r="K29" s="60" cm="1">
        <f t="array" ref="K29">IFERROR(IF(B$6="Tous les mois",SUMIF(Transaction[Categorie],Crédit_Dasboard[[#This Row],[Colonne1]],Transaction[Montant]),SUMPRODUCT(((MONTH(Transaction[Date])=MONTH(DATEVALUE("1"&amp;$B$6&amp;"2000")))*(J29=Transaction[Categorie]))*(Transaction[Montant]))),"")</f>
        <v>0</v>
      </c>
      <c r="L29" s="56" t="str">
        <f>IFERROR(IF(B$6="Tous les mois",VLOOKUP(J29,Credit_budget[],14,0),INDEX(Credit_budget[[Janvier]:[Décembre]],MATCH(J29,Credit_budget[Credit],0),MATCH(B$6,Credit_budget[[#Headers],[Janvier]:[Décembre]],0))),"")</f>
        <v/>
      </c>
      <c r="M29" s="57"/>
      <c r="N29" s="47" t="s">
        <v>44</v>
      </c>
      <c r="O29" s="60" cm="1">
        <f t="array" ref="O29">IFERROR(IF(B$6="Tous les mois",SUMIF(Transaction[Categorie],Facture_Dasboard[[#This Row],[Colonne1]],Transaction[Montant]),SUMPRODUCT(((MONTH(Transaction[Date])=MONTH(DATEVALUE("1"&amp;$B$6&amp;"2000")))*(N29=Transaction[Categorie]))*(Transaction[Montant]))),"")</f>
        <v>0</v>
      </c>
      <c r="P29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9" s="57"/>
      <c r="R29" s="52" t="s">
        <v>84</v>
      </c>
      <c r="S29" s="61" cm="1">
        <f t="array" ref="S29">IFERROR(IF(B$6="Tous les mois",SUMIF(Transaction[Categorie],Epargne_Dasboard[[#This Row],[Colonne1]],Transaction[Montant]),SUMPRODUCT(((MONTH(Transaction[Date])=MONTH(DATEVALUE("1"&amp;$B$6&amp;"2000")))*(R29=Transaction[Categorie]))*(Transaction[Montant]))),"")</f>
        <v>2.4</v>
      </c>
      <c r="T29" s="56">
        <f>IFERROR(IF(B$6="Tous les mois",VLOOKUP(R29,Epargne_budget[],14,0),INDEX(Epargne_budget[[Janvier]:[Décembre]],MATCH(R29,Epargne_budget[Epargnes],0),MATCH(B$6,Epargne_budget[[#Headers],[Janvier]:[Décembre]],0))),"")</f>
        <v>0</v>
      </c>
    </row>
    <row r="30" spans="2:20" ht="21" customHeight="1" x14ac:dyDescent="0.25">
      <c r="B30" s="52"/>
      <c r="C30" s="55" cm="1">
        <f t="array" ref="C30">IFERROR(IF(B$6="Tous les mois",SUMIF(Transaction[Categorie],Revenu_Dasboard[[#This Row],[Colonne1]],Transaction[Montant]),SUMPRODUCT(((MONTH(Transaction[Date])=MONTH(DATEVALUE("1"&amp;$B$6&amp;"2000")))*(B30=Transaction[Categorie]))*(Transaction[Montant]))),"")</f>
        <v>0</v>
      </c>
      <c r="D30" s="56" t="str">
        <f>IFERROR(IF(B$6="Tous les mois",VLOOKUP(Revenu_Dasboard[[#This Row],[Colonne1]],Revenue_budget[],14,0),INDEX(Revenue_budget[[Janvier]:[Décembre]],MATCH(B30,Revenue_budget[Revenu],0),MATCH(B$6,Revenue_budget[[#Headers],[Janvier]:[Décembre]],0))),"")</f>
        <v/>
      </c>
      <c r="E30" s="57"/>
      <c r="F30" s="53" t="s">
        <v>65</v>
      </c>
      <c r="G30" s="58" cm="1">
        <f t="array" ref="G30">IFERROR(IF(B$6="Tous les mois",SUMIF(Transaction[Categorie],Dépense_Dasboard[[#This Row],[Colonne1]],Transaction[Montant]),SUMPRODUCT(((MONTH(Transaction[Date])=MONTH(DATEVALUE("1"&amp;$B$6&amp;"2000")))*(F30=Transaction[Categorie]))*(Transaction[Montant]))),"")</f>
        <v>0</v>
      </c>
      <c r="H30" s="59">
        <f>IFERROR(IF(B$6="Tous les mois",VLOOKUP(F30,Depense_budget[],14,0),INDEX(Depense_budget[[Janvier]:[Décembre]],MATCH(F30,Depense_budget[Depense],0),MATCH(B$6,Depense_budget[[#Headers],[Janvier]:[Décembre]],0))),"")</f>
        <v>0</v>
      </c>
      <c r="I30" s="57"/>
      <c r="J30" s="52"/>
      <c r="K30" s="60" cm="1">
        <f t="array" ref="K30">IFERROR(IF(B$6="Tous les mois",SUMIF(Transaction[Categorie],Crédit_Dasboard[[#This Row],[Colonne1]],Transaction[Montant]),SUMPRODUCT(((MONTH(Transaction[Date])=MONTH(DATEVALUE("1"&amp;$B$6&amp;"2000")))*(J30=Transaction[Categorie]))*(Transaction[Montant]))),"")</f>
        <v>0</v>
      </c>
      <c r="L30" s="56" t="str">
        <f>IFERROR(IF(B$6="Tous les mois",VLOOKUP(J30,Credit_budget[],14,0),INDEX(Credit_budget[[Janvier]:[Décembre]],MATCH(J30,Credit_budget[Credit],0),MATCH(B$6,Credit_budget[[#Headers],[Janvier]:[Décembre]],0))),"")</f>
        <v/>
      </c>
      <c r="M30" s="57"/>
      <c r="N30" s="47" t="s">
        <v>43</v>
      </c>
      <c r="O30" s="60" cm="1">
        <f t="array" ref="O30">IFERROR(IF(B$6="Tous les mois",SUMIF(Transaction[Categorie],Facture_Dasboard[[#This Row],[Colonne1]],Transaction[Montant]),SUMPRODUCT(((MONTH(Transaction[Date])=MONTH(DATEVALUE("1"&amp;$B$6&amp;"2000")))*(N30=Transaction[Categorie]))*(Transaction[Montant]))),"")</f>
        <v>0</v>
      </c>
      <c r="P30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0" s="57"/>
      <c r="R30" s="52"/>
      <c r="S30" s="61"/>
      <c r="T30" s="56" t="str">
        <f>IFERROR(IF(B$6="Tous les mois",VLOOKUP(R30,Epargne_budget[],14,0),INDEX(Epargne_budget[[Janvier]:[Décembre]],MATCH(R30,Epargne_budget[Epargnes],0),MATCH(B$6,Epargne_budget[[#Headers],[Janvier]:[Décembre]],0))),"")</f>
        <v/>
      </c>
    </row>
    <row r="31" spans="2:20" ht="21" customHeight="1" x14ac:dyDescent="0.25">
      <c r="B31" s="52"/>
      <c r="C31" s="55" cm="1">
        <f t="array" ref="C31">IFERROR(IF(B$6="Tous les mois",SUMIF(Transaction[Categorie],Revenu_Dasboard[[#This Row],[Colonne1]],Transaction[Montant]),SUMPRODUCT(((MONTH(Transaction[Date])=MONTH(DATEVALUE("1"&amp;$B$6&amp;"2000")))*(B31=Transaction[Categorie]))*(Transaction[Montant]))),"")</f>
        <v>0</v>
      </c>
      <c r="D31" s="56" t="str">
        <f>IFERROR(IF(B$6="Tous les mois",VLOOKUP(Revenu_Dasboard[[#This Row],[Colonne1]],Revenue_budget[],14,0),INDEX(Revenue_budget[[Janvier]:[Décembre]],MATCH(B31,Revenue_budget[Revenu],0),MATCH(B$6,Revenue_budget[[#Headers],[Janvier]:[Décembre]],0))),"")</f>
        <v/>
      </c>
      <c r="E31" s="57"/>
      <c r="F31" s="54" t="s">
        <v>16</v>
      </c>
      <c r="G31" s="58" cm="1">
        <f t="array" ref="G31">IFERROR(IF(B$6="Tous les mois",SUMIF(Transaction[Categorie],Dépense_Dasboard[[#This Row],[Colonne1]],Transaction[Montant]),SUMPRODUCT(((MONTH(Transaction[Date])=MONTH(DATEVALUE("1"&amp;$B$6&amp;"2000")))*(F31=Transaction[Categorie]))*(Transaction[Montant]))),"")</f>
        <v>0</v>
      </c>
      <c r="H31" s="59">
        <f>IFERROR(IF(B$6="Tous les mois",VLOOKUP(F31,Depense_budget[],14,0),INDEX(Depense_budget[[Janvier]:[Décembre]],MATCH(F31,Depense_budget[Depense],0),MATCH(B$6,Depense_budget[[#Headers],[Janvier]:[Décembre]],0))),"")</f>
        <v>0</v>
      </c>
      <c r="I31" s="57"/>
      <c r="J31" s="52"/>
      <c r="K31" s="60" cm="1">
        <f t="array" ref="K31">IFERROR(IF(B$6="Tous les mois",SUMIF(Transaction[Categorie],Crédit_Dasboard[[#This Row],[Colonne1]],Transaction[Montant]),SUMPRODUCT(((MONTH(Transaction[Date])=MONTH(DATEVALUE("1"&amp;$B$6&amp;"2000")))*(J31=Transaction[Categorie]))*(Transaction[Montant]))),"")</f>
        <v>0</v>
      </c>
      <c r="L31" s="56" t="str">
        <f>IFERROR(IF(B$6="Tous les mois",VLOOKUP(J31,Credit_budget[],14,0),INDEX(Credit_budget[[Janvier]:[Décembre]],MATCH(J31,Credit_budget[Credit],0),MATCH(B$6,Credit_budget[[#Headers],[Janvier]:[Décembre]],0))),"")</f>
        <v/>
      </c>
      <c r="M31" s="57"/>
      <c r="N31" s="47" t="s">
        <v>46</v>
      </c>
      <c r="O31" s="60" cm="1">
        <f t="array" ref="O31">IFERROR(IF(B$6="Tous les mois",SUMIF(Transaction[Categorie],Facture_Dasboard[[#This Row],[Colonne1]],Transaction[Montant]),SUMPRODUCT(((MONTH(Transaction[Date])=MONTH(DATEVALUE("1"&amp;$B$6&amp;"2000")))*(N31=Transaction[Categorie]))*(Transaction[Montant]))),"")</f>
        <v>0</v>
      </c>
      <c r="P31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25</v>
      </c>
      <c r="Q31" s="57"/>
      <c r="R31" s="52"/>
      <c r="S31" s="61"/>
      <c r="T31" s="56" t="str">
        <f>IFERROR(IF(B$6="Tous les mois",VLOOKUP(R31,Epargne_budget[],14,0),INDEX(Epargne_budget[[Janvier]:[Décembre]],MATCH(R31,Epargne_budget[Epargnes],0),MATCH(B$6,Epargne_budget[[#Headers],[Janvier]:[Décembre]],0))),"")</f>
        <v/>
      </c>
    </row>
    <row r="32" spans="2:20" ht="21" customHeight="1" x14ac:dyDescent="0.25">
      <c r="B32" s="52"/>
      <c r="C32" s="55" cm="1">
        <f t="array" ref="C32">IFERROR(IF(B$6="Tous les mois",SUMIF(Transaction[Categorie],Revenu_Dasboard[[#This Row],[Colonne1]],Transaction[Montant]),SUMPRODUCT(((MONTH(Transaction[Date])=MONTH(DATEVALUE("1"&amp;$B$6&amp;"2000")))*(B32=Transaction[Categorie]))*(Transaction[Montant]))),"")</f>
        <v>0</v>
      </c>
      <c r="D32" s="56" t="str">
        <f>IFERROR(IF(B$6="Tous les mois",VLOOKUP(Revenu_Dasboard[[#This Row],[Colonne1]],Revenue_budget[],14,0),INDEX(Revenue_budget[[Janvier]:[Décembre]],MATCH(B32,Revenue_budget[Revenu],0),MATCH(B$6,Revenue_budget[[#Headers],[Janvier]:[Décembre]],0))),"")</f>
        <v/>
      </c>
      <c r="E32" s="57"/>
      <c r="F32" s="54" t="s">
        <v>17</v>
      </c>
      <c r="G32" s="58" cm="1">
        <f t="array" ref="G32">IFERROR(IF(B$6="Tous les mois",SUMIF(Transaction[Categorie],Dépense_Dasboard[[#This Row],[Colonne1]],Transaction[Montant]),SUMPRODUCT(((MONTH(Transaction[Date])=MONTH(DATEVALUE("1"&amp;$B$6&amp;"2000")))*(F32=Transaction[Categorie]))*(Transaction[Montant]))),"")</f>
        <v>0</v>
      </c>
      <c r="H32" s="59">
        <f>IFERROR(IF(B$6="Tous les mois",VLOOKUP(F32,Depense_budget[],14,0),INDEX(Depense_budget[[Janvier]:[Décembre]],MATCH(F32,Depense_budget[Depense],0),MATCH(B$6,Depense_budget[[#Headers],[Janvier]:[Décembre]],0))),"")</f>
        <v>0</v>
      </c>
      <c r="I32" s="57"/>
      <c r="J32" s="52"/>
      <c r="K32" s="60" cm="1">
        <f t="array" ref="K32">IFERROR(IF(B$6="Tous les mois",SUMIF(Transaction[Categorie],Crédit_Dasboard[[#This Row],[Colonne1]],Transaction[Montant]),SUMPRODUCT(((MONTH(Transaction[Date])=MONTH(DATEVALUE("1"&amp;$B$6&amp;"2000")))*(J32=Transaction[Categorie]))*(Transaction[Montant]))),"")</f>
        <v>0</v>
      </c>
      <c r="L32" s="56" t="str">
        <f>IFERROR(IF(B$6="Tous les mois",VLOOKUP(J32,Credit_budget[],14,0),INDEX(Credit_budget[[Janvier]:[Décembre]],MATCH(J32,Credit_budget[Credit],0),MATCH(B$6,Credit_budget[[#Headers],[Janvier]:[Décembre]],0))),"")</f>
        <v/>
      </c>
      <c r="M32" s="57"/>
      <c r="N32" s="47" t="s">
        <v>45</v>
      </c>
      <c r="O32" s="60" cm="1">
        <f t="array" ref="O32">IFERROR(IF(B$6="Tous les mois",SUMIF(Transaction[Categorie],Facture_Dasboard[[#This Row],[Colonne1]],Transaction[Montant]),SUMPRODUCT(((MONTH(Transaction[Date])=MONTH(DATEVALUE("1"&amp;$B$6&amp;"2000")))*(N32=Transaction[Categorie]))*(Transaction[Montant]))),"")</f>
        <v>0</v>
      </c>
      <c r="P32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375</v>
      </c>
      <c r="Q32" s="57"/>
      <c r="R32" s="52"/>
      <c r="S32" s="61"/>
      <c r="T32" s="56" t="str">
        <f>IFERROR(IF(B$6="Tous les mois",VLOOKUP(R32,Epargne_budget[],14,0),INDEX(Epargne_budget[[Janvier]:[Décembre]],MATCH(R32,Epargne_budget[Epargnes],0),MATCH(B$6,Epargne_budget[[#Headers],[Janvier]:[Décembre]],0))),"")</f>
        <v/>
      </c>
    </row>
    <row r="33" spans="2:20" ht="21" customHeight="1" x14ac:dyDescent="0.25">
      <c r="B33" s="52"/>
      <c r="C33" s="55" cm="1">
        <f t="array" ref="C33">IFERROR(IF(B$6="Tous les mois",SUMIF(Transaction[Categorie],Revenu_Dasboard[[#This Row],[Colonne1]],Transaction[Montant]),SUMPRODUCT(((MONTH(Transaction[Date])=MONTH(DATEVALUE("1"&amp;$B$6&amp;"2000")))*(B33=Transaction[Categorie]))*(Transaction[Montant]))),"")</f>
        <v>0</v>
      </c>
      <c r="D33" s="56" t="str">
        <f>IFERROR(IF(B$6="Tous les mois",VLOOKUP(Revenu_Dasboard[[#This Row],[Colonne1]],Revenue_budget[],14,0),INDEX(Revenue_budget[[Janvier]:[Décembre]],MATCH(B33,Revenue_budget[Revenu],0),MATCH(B$6,Revenue_budget[[#Headers],[Janvier]:[Décembre]],0))),"")</f>
        <v/>
      </c>
      <c r="E33" s="57"/>
      <c r="F33" s="54" t="s">
        <v>18</v>
      </c>
      <c r="G33" s="58" cm="1">
        <f t="array" ref="G33">IFERROR(IF(B$6="Tous les mois",SUMIF(Transaction[Categorie],Dépense_Dasboard[[#This Row],[Colonne1]],Transaction[Montant]),SUMPRODUCT(((MONTH(Transaction[Date])=MONTH(DATEVALUE("1"&amp;$B$6&amp;"2000")))*(F33=Transaction[Categorie]))*(Transaction[Montant]))),"")</f>
        <v>73</v>
      </c>
      <c r="H33" s="59">
        <f>IFERROR(IF(B$6="Tous les mois",VLOOKUP(F33,Depense_budget[],14,0),INDEX(Depense_budget[[Janvier]:[Décembre]],MATCH(F33,Depense_budget[Depense],0),MATCH(B$6,Depense_budget[[#Headers],[Janvier]:[Décembre]],0))),"")</f>
        <v>0</v>
      </c>
      <c r="I33" s="57"/>
      <c r="J33" s="52"/>
      <c r="K33" s="60" cm="1">
        <f t="array" ref="K33">IFERROR(IF(B$6="Tous les mois",SUMIF(Transaction[Categorie],Crédit_Dasboard[[#This Row],[Colonne1]],Transaction[Montant]),SUMPRODUCT(((MONTH(Transaction[Date])=MONTH(DATEVALUE("1"&amp;$B$6&amp;"2000")))*(J33=Transaction[Categorie]))*(Transaction[Montant]))),"")</f>
        <v>0</v>
      </c>
      <c r="L33" s="56" t="str">
        <f>IFERROR(IF(B$6="Tous les mois",VLOOKUP(J33,Credit_budget[],14,0),INDEX(Credit_budget[[Janvier]:[Décembre]],MATCH(J33,Credit_budget[Credit],0),MATCH(B$6,Credit_budget[[#Headers],[Janvier]:[Décembre]],0))),"")</f>
        <v/>
      </c>
      <c r="M33" s="57"/>
      <c r="N33" s="53" t="s">
        <v>48</v>
      </c>
      <c r="O33" s="60" cm="1">
        <f t="array" ref="O33">IFERROR(IF(B$6="Tous les mois",SUMIF(Transaction[Categorie],Facture_Dasboard[[#This Row],[Colonne1]],Transaction[Montant]),SUMPRODUCT(((MONTH(Transaction[Date])=MONTH(DATEVALUE("1"&amp;$B$6&amp;"2000")))*(N33=Transaction[Categorie]))*(Transaction[Montant]))),"")</f>
        <v>0</v>
      </c>
      <c r="P33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3" s="57"/>
      <c r="R33" s="52"/>
      <c r="S33" s="61"/>
      <c r="T33" s="56" t="str">
        <f>IFERROR(IF(B$6="Tous les mois",VLOOKUP(R33,Epargne_budget[],14,0),INDEX(Epargne_budget[[Janvier]:[Décembre]],MATCH(R33,Epargne_budget[Epargnes],0),MATCH(B$6,Epargne_budget[[#Headers],[Janvier]:[Décembre]],0))),"")</f>
        <v/>
      </c>
    </row>
    <row r="34" spans="2:20" ht="21" customHeight="1" x14ac:dyDescent="0.25">
      <c r="B34" s="52"/>
      <c r="C34" s="55" cm="1">
        <f t="array" ref="C34">IFERROR(IF(B$6="Tous les mois",SUMIF(Transaction[Categorie],Revenu_Dasboard[[#This Row],[Colonne1]],Transaction[Montant]),SUMPRODUCT(((MONTH(Transaction[Date])=MONTH(DATEVALUE("1"&amp;$B$6&amp;"2000")))*(B34=Transaction[Categorie]))*(Transaction[Montant]))),"")</f>
        <v>0</v>
      </c>
      <c r="D34" s="56" t="str">
        <f>IFERROR(IF(B$6="Tous les mois",VLOOKUP(Revenu_Dasboard[[#This Row],[Colonne1]],Revenue_budget[],14,0),INDEX(Revenue_budget[[Janvier]:[Décembre]],MATCH(B34,Revenue_budget[Revenu],0),MATCH(B$6,Revenue_budget[[#Headers],[Janvier]:[Décembre]],0))),"")</f>
        <v/>
      </c>
      <c r="E34" s="57"/>
      <c r="F34" s="54" t="s">
        <v>19</v>
      </c>
      <c r="G34" s="58" cm="1">
        <f t="array" ref="G34">IFERROR(IF(B$6="Tous les mois",SUMIF(Transaction[Categorie],Dépense_Dasboard[[#This Row],[Colonne1]],Transaction[Montant]),SUMPRODUCT(((MONTH(Transaction[Date])=MONTH(DATEVALUE("1"&amp;$B$6&amp;"2000")))*(F34=Transaction[Categorie]))*(Transaction[Montant]))),"")</f>
        <v>0</v>
      </c>
      <c r="H34" s="59">
        <f>IFERROR(IF(B$6="Tous les mois",VLOOKUP(F34,Depense_budget[],14,0),INDEX(Depense_budget[[Janvier]:[Décembre]],MATCH(F34,Depense_budget[Depense],0),MATCH(B$6,Depense_budget[[#Headers],[Janvier]:[Décembre]],0))),"")</f>
        <v>0</v>
      </c>
      <c r="I34" s="57"/>
      <c r="J34" s="52"/>
      <c r="K34" s="60" cm="1">
        <f t="array" ref="K34">IFERROR(IF(B$6="Tous les mois",SUMIF(Transaction[Categorie],Crédit_Dasboard[[#This Row],[Colonne1]],Transaction[Montant]),SUMPRODUCT(((MONTH(Transaction[Date])=MONTH(DATEVALUE("1"&amp;$B$6&amp;"2000")))*(J34=Transaction[Categorie]))*(Transaction[Montant]))),"")</f>
        <v>0</v>
      </c>
      <c r="L34" s="56" t="str">
        <f>IFERROR(IF(B$6="Tous les mois",VLOOKUP(J34,Credit_budget[],14,0),INDEX(Credit_budget[[Janvier]:[Décembre]],MATCH(J34,Credit_budget[Credit],0),MATCH(B$6,Credit_budget[[#Headers],[Janvier]:[Décembre]],0))),"")</f>
        <v/>
      </c>
      <c r="M34" s="57"/>
      <c r="N34" s="53" t="s">
        <v>47</v>
      </c>
      <c r="O34" s="60" cm="1">
        <f t="array" ref="O34">IFERROR(IF(B$6="Tous les mois",SUMIF(Transaction[Categorie],Facture_Dasboard[[#This Row],[Colonne1]],Transaction[Montant]),SUMPRODUCT(((MONTH(Transaction[Date])=MONTH(DATEVALUE("1"&amp;$B$6&amp;"2000")))*(N34=Transaction[Categorie]))*(Transaction[Montant]))),"")</f>
        <v>0</v>
      </c>
      <c r="P34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19.989999999999998</v>
      </c>
      <c r="Q34" s="57"/>
      <c r="R34" s="52"/>
      <c r="S34" s="61"/>
      <c r="T34" s="56" t="str">
        <f>IFERROR(IF(B$6="Tous les mois",VLOOKUP(R34,Epargne_budget[],14,0),INDEX(Epargne_budget[[Janvier]:[Décembre]],MATCH(R34,Epargne_budget[Epargnes],0),MATCH(B$6,Epargne_budget[[#Headers],[Janvier]:[Décembre]],0))),"")</f>
        <v/>
      </c>
    </row>
    <row r="35" spans="2:20" ht="21" customHeight="1" x14ac:dyDescent="0.25">
      <c r="B35" s="52"/>
      <c r="C35" s="55" cm="1">
        <f t="array" ref="C35">IFERROR(IF(B$6="Tous les mois",SUMIF(Transaction[Categorie],Revenu_Dasboard[[#This Row],[Colonne1]],Transaction[Montant]),SUMPRODUCT(((MONTH(Transaction[Date])=MONTH(DATEVALUE("1"&amp;$B$6&amp;"2000")))*(B35=Transaction[Categorie]))*(Transaction[Montant]))),"")</f>
        <v>0</v>
      </c>
      <c r="D35" s="56" t="str">
        <f>IFERROR(IF(B$6="Tous les mois",VLOOKUP(Revenu_Dasboard[[#This Row],[Colonne1]],Revenue_budget[],14,0),INDEX(Revenue_budget[[Janvier]:[Décembre]],MATCH(B35,Revenue_budget[Revenu],0),MATCH(B$6,Revenue_budget[[#Headers],[Janvier]:[Décembre]],0))),"")</f>
        <v/>
      </c>
      <c r="E35" s="57"/>
      <c r="F35" s="76" t="s">
        <v>49</v>
      </c>
      <c r="G35" s="58" cm="1">
        <f t="array" ref="G35">IFERROR(IF(B$6="Tous les mois",SUMIF(Transaction[Categorie],Dépense_Dasboard[[#This Row],[Colonne1]],Transaction[Montant]),SUMPRODUCT(((MONTH(Transaction[Date])=MONTH(DATEVALUE("1"&amp;$B$6&amp;"2000")))*(F35=Transaction[Categorie]))*(Transaction[Montant]))),"")</f>
        <v>0</v>
      </c>
      <c r="H35" s="59">
        <f>IFERROR(IF(B$6="Tous les mois",VLOOKUP(F35,Depense_budget[],14,0),INDEX(Depense_budget[[Janvier]:[Décembre]],MATCH(F35,Depense_budget[Depense],0),MATCH(B$6,Depense_budget[[#Headers],[Janvier]:[Décembre]],0))),"")</f>
        <v>0</v>
      </c>
      <c r="I35" s="57"/>
      <c r="J35" s="52"/>
      <c r="K35" s="60" cm="1">
        <f t="array" ref="K35">IFERROR(IF(B$6="Tous les mois",SUMIF(Transaction[Categorie],Crédit_Dasboard[[#This Row],[Colonne1]],Transaction[Montant]),SUMPRODUCT(((MONTH(Transaction[Date])=MONTH(DATEVALUE("1"&amp;$B$6&amp;"2000")))*(J35=Transaction[Categorie]))*(Transaction[Montant]))),"")</f>
        <v>0</v>
      </c>
      <c r="L35" s="56" t="str">
        <f>IFERROR(IF(B$6="Tous les mois",VLOOKUP(J35,Credit_budget[],14,0),INDEX(Credit_budget[[Janvier]:[Décembre]],MATCH(J35,Credit_budget[Credit],0),MATCH(B$6,Credit_budget[[#Headers],[Janvier]:[Décembre]],0))),"")</f>
        <v/>
      </c>
      <c r="M35" s="57"/>
      <c r="N35" s="52" t="s">
        <v>63</v>
      </c>
      <c r="O35" s="60" cm="1">
        <f t="array" ref="O35">IFERROR(IF(B$6="Tous les mois",SUMIF(Transaction[Categorie],Facture_Dasboard[[#This Row],[Colonne1]],Transaction[Montant]),SUMPRODUCT(((MONTH(Transaction[Date])=MONTH(DATEVALUE("1"&amp;$B$6&amp;"2000")))*(N35=Transaction[Categorie]))*(Transaction[Montant]))),"")</f>
        <v>15.17</v>
      </c>
      <c r="P35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15.17</v>
      </c>
      <c r="Q35" s="57"/>
      <c r="R35" s="52"/>
      <c r="S35" s="61"/>
      <c r="T35" s="56" t="str">
        <f>IFERROR(IF(B$6="Tous les mois",VLOOKUP(R35,Epargne_budget[],14,0),INDEX(Epargne_budget[[Janvier]:[Décembre]],MATCH(R35,Epargne_budget[Epargnes],0),MATCH(B$6,Epargne_budget[[#Headers],[Janvier]:[Décembre]],0))),"")</f>
        <v/>
      </c>
    </row>
    <row r="36" spans="2:20" ht="21" customHeight="1" thickBot="1" x14ac:dyDescent="0.65">
      <c r="B36" s="52"/>
      <c r="C36" s="55" cm="1">
        <f t="array" ref="C36">IFERROR(IF(B$6="Tous les mois",SUMIF(Transaction[Categorie],Revenu_Dasboard[[#This Row],[Colonne1]],Transaction[Montant]),SUMPRODUCT(((MONTH(Transaction[Date])=MONTH(DATEVALUE("1"&amp;$B$6&amp;"2000")))*(B36=Transaction[Categorie]))*(Transaction[Montant]))),"")</f>
        <v>0</v>
      </c>
      <c r="D36" s="56" t="str">
        <f>IFERROR(IF(B$6="Tous les mois",VLOOKUP(Revenu_Dasboard[[#This Row],[Colonne1]],Revenue_budget[],14,0),INDEX(Revenue_budget[[Janvier]:[Décembre]],MATCH(B36,Revenue_budget[Revenu],0),MATCH(B$6,Revenue_budget[[#Headers],[Janvier]:[Décembre]],0))),"")</f>
        <v/>
      </c>
      <c r="E36" s="57"/>
      <c r="F36" s="52"/>
      <c r="G36" s="58" cm="1">
        <f t="array" ref="G36">IFERROR(IF(B$6="Tous les mois",SUMIF(Transaction[Categorie],Dépense_Dasboard[[#This Row],[Colonne1]],Transaction[Montant]),SUMPRODUCT(((MONTH(Transaction[Date])=MONTH(DATEVALUE("1"&amp;$B$6&amp;"2000")))*(F36=Transaction[Categorie]))*(Transaction[Montant]))),"")</f>
        <v>0</v>
      </c>
      <c r="H36" s="59" t="str">
        <f>IFERROR(IF(B$6="Tous les mois",VLOOKUP(F36,Depense_budget[],14,0),INDEX(Depense_budget[[Janvier]:[Décembre]],MATCH(F36,Depense_budget[Depense],0),MATCH(B$6,Depense_budget[[#Headers],[Janvier]:[Décembre]],0))),"")</f>
        <v/>
      </c>
      <c r="I36" s="57"/>
      <c r="J36" s="77"/>
      <c r="K36" s="60" cm="1">
        <f t="array" ref="K36">IFERROR(IF(B$6="Tous les mois",SUMIF(Transaction[Categorie],Crédit_Dasboard[[#This Row],[Colonne1]],Transaction[Montant]),SUMPRODUCT(((MONTH(Transaction[Date])=MONTH(DATEVALUE("1"&amp;$B$6&amp;"2000")))*(J36=Transaction[Categorie]))*(Transaction[Montant]))),"")</f>
        <v>0</v>
      </c>
      <c r="L36" s="56" t="str">
        <f>IFERROR(IF(B$6="Tous les mois",VLOOKUP(J36,Credit_budget[],14,0),INDEX(Credit_budget[[Janvier]:[Décembre]],MATCH(J36,Credit_budget[Credit],0),MATCH(B$6,Credit_budget[[#Headers],[Janvier]:[Décembre]],0))),"")</f>
        <v/>
      </c>
      <c r="M36" s="57"/>
      <c r="N36" s="3" t="s">
        <v>64</v>
      </c>
      <c r="O36" s="60" cm="1">
        <f t="array" ref="O36">IFERROR(IF(B$6="Tous les mois",SUMIF(Transaction[Categorie],Facture_Dasboard[[#This Row],[Colonne1]],Transaction[Montant]),SUMPRODUCT(((MONTH(Transaction[Date])=MONTH(DATEVALUE("1"&amp;$B$6&amp;"2000")))*(N36=Transaction[Categorie]))*(Transaction[Montant]))),"")</f>
        <v>0</v>
      </c>
      <c r="P36" s="56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43.05</v>
      </c>
      <c r="Q36" s="57"/>
      <c r="R36" s="77"/>
      <c r="S36" s="61"/>
      <c r="T36" s="56" t="str">
        <f>IFERROR(IF(B$6="Tous les mois",VLOOKUP(R36,Epargne_budget[],14,0),INDEX(Epargne_budget[[Janvier]:[Décembre]],MATCH(R36,Epargne_budget[Epargnes],0),MATCH(B$6,Epargne_budget[[#Headers],[Janvier]:[Décembre]],0))),"")</f>
        <v/>
      </c>
    </row>
    <row r="37" spans="2:20" ht="28.5" x14ac:dyDescent="0.8">
      <c r="B37" s="64" t="s">
        <v>10</v>
      </c>
      <c r="C37" s="65">
        <f>SUM(C26:C35)</f>
        <v>2316.2799999999997</v>
      </c>
      <c r="D37" s="66">
        <f>SUM(D26:D35)</f>
        <v>13424</v>
      </c>
      <c r="F37" s="64" t="s">
        <v>10</v>
      </c>
      <c r="G37" s="67">
        <f>SUM(G26:G35)</f>
        <v>298.75</v>
      </c>
      <c r="H37" s="67">
        <f>SUM(H26:H35)</f>
        <v>394.97</v>
      </c>
      <c r="J37" s="62" t="s">
        <v>10</v>
      </c>
      <c r="K37" s="68">
        <f>SUM(K26:K35)</f>
        <v>0</v>
      </c>
      <c r="L37" s="63">
        <f>SUM(L26:L35)</f>
        <v>0</v>
      </c>
      <c r="N37" s="62" t="s">
        <v>10</v>
      </c>
      <c r="O37" s="63">
        <f>SUM(O26:O35)</f>
        <v>15.17</v>
      </c>
      <c r="P37" s="63">
        <f>SUM(P26:P35)</f>
        <v>453.35</v>
      </c>
      <c r="R37" s="62" t="s">
        <v>10</v>
      </c>
      <c r="S37" s="63">
        <f>SUM(S26:S35)</f>
        <v>554.15</v>
      </c>
      <c r="T37" s="63">
        <f>SUM(T26:T35)</f>
        <v>503.15999999999997</v>
      </c>
    </row>
    <row r="38" spans="2:20" ht="21" customHeight="1" x14ac:dyDescent="0.6">
      <c r="B38" s="24"/>
      <c r="C38" s="21"/>
      <c r="D38" s="28"/>
      <c r="F38" s="16"/>
      <c r="G38" s="6"/>
      <c r="H38" s="6"/>
      <c r="J38" s="24"/>
      <c r="K38" s="29"/>
      <c r="L38" s="28"/>
      <c r="N38" s="24"/>
      <c r="O38" s="25"/>
      <c r="P38" s="25"/>
      <c r="R38" s="24"/>
      <c r="S38" s="25"/>
      <c r="T38" s="25"/>
    </row>
    <row r="39" spans="2:20" ht="21" customHeight="1" x14ac:dyDescent="0.6">
      <c r="B39" s="24"/>
      <c r="C39" s="21"/>
      <c r="D39" s="28"/>
      <c r="F39" s="16"/>
      <c r="G39" s="6"/>
      <c r="H39" s="6"/>
      <c r="J39" s="24"/>
      <c r="K39" s="29"/>
      <c r="L39" s="28"/>
      <c r="N39" s="24"/>
      <c r="O39" s="25"/>
      <c r="P39" s="25"/>
      <c r="R39" s="24"/>
      <c r="S39" s="25"/>
      <c r="T39" s="25"/>
    </row>
    <row r="40" spans="2:20" ht="21" customHeight="1" x14ac:dyDescent="0.6">
      <c r="B40" s="24"/>
      <c r="C40" s="21"/>
      <c r="D40" s="28"/>
      <c r="F40" s="16"/>
      <c r="G40" s="6"/>
      <c r="H40" s="6"/>
      <c r="J40" s="24"/>
      <c r="K40" s="29"/>
      <c r="L40" s="28"/>
      <c r="N40" s="24"/>
      <c r="O40" s="25"/>
      <c r="P40" s="25"/>
      <c r="R40" s="24"/>
      <c r="S40" s="25"/>
      <c r="T40" s="25"/>
    </row>
    <row r="41" spans="2:20" ht="21" customHeight="1" x14ac:dyDescent="0.6">
      <c r="B41" s="24"/>
      <c r="C41" s="21"/>
      <c r="D41" s="28"/>
      <c r="F41" s="16"/>
      <c r="G41" s="6"/>
      <c r="H41" s="6"/>
      <c r="J41" s="24"/>
      <c r="K41" s="29"/>
      <c r="L41" s="28"/>
      <c r="N41" s="24"/>
      <c r="O41" s="25"/>
      <c r="P41" s="25"/>
      <c r="R41" s="24"/>
      <c r="S41" s="25"/>
      <c r="T41" s="25"/>
    </row>
    <row r="42" spans="2:20" ht="21" customHeight="1" x14ac:dyDescent="0.6">
      <c r="B42" s="24"/>
      <c r="C42" s="21"/>
      <c r="D42" s="28"/>
      <c r="F42" s="16"/>
      <c r="G42" s="6"/>
      <c r="H42" s="6"/>
      <c r="J42" s="24"/>
      <c r="K42" s="29"/>
      <c r="L42" s="28"/>
      <c r="N42" s="24"/>
      <c r="O42" s="25"/>
      <c r="P42" s="25"/>
      <c r="R42" s="24"/>
      <c r="S42" s="25"/>
      <c r="T42" s="25"/>
    </row>
    <row r="43" spans="2:20" ht="68.25" customHeight="1" x14ac:dyDescent="0.6">
      <c r="B43" s="24"/>
      <c r="C43" s="21"/>
      <c r="D43" s="28"/>
      <c r="F43" s="16"/>
      <c r="G43" s="6"/>
      <c r="H43" s="6"/>
      <c r="J43" s="24"/>
      <c r="K43" s="29"/>
      <c r="L43" s="28"/>
      <c r="N43" s="24"/>
      <c r="O43" s="25"/>
      <c r="P43" s="25"/>
      <c r="R43" s="24"/>
      <c r="S43" s="25"/>
      <c r="T43" s="25"/>
    </row>
    <row r="44" spans="2:20" ht="21" customHeight="1" x14ac:dyDescent="0.6">
      <c r="C44" s="27"/>
      <c r="O44" s="25">
        <f>K37+O37</f>
        <v>15.17</v>
      </c>
      <c r="P44" s="25">
        <f>L37+P37</f>
        <v>453.35</v>
      </c>
    </row>
    <row r="45" spans="2:20" x14ac:dyDescent="0.25">
      <c r="C45" s="27">
        <f>C37/D37</f>
        <v>0.17254767580452918</v>
      </c>
      <c r="D45" s="27">
        <f>D37/D37</f>
        <v>1</v>
      </c>
      <c r="G45" s="27">
        <f>G37/H37</f>
        <v>0.7563865610046332</v>
      </c>
      <c r="H45" s="27">
        <f>H37/H37</f>
        <v>1</v>
      </c>
      <c r="K45" s="27"/>
      <c r="L45" s="27"/>
      <c r="N45" s="19"/>
      <c r="O45" s="27">
        <f>O44/P44</f>
        <v>3.346200507334289E-2</v>
      </c>
      <c r="P45" s="27">
        <f>P44/P44</f>
        <v>1</v>
      </c>
      <c r="S45" s="27">
        <f>S37/T37</f>
        <v>1.1013395341442087</v>
      </c>
      <c r="T45" s="27">
        <f>T37/T37</f>
        <v>1</v>
      </c>
    </row>
    <row r="49" spans="2:20" ht="21.75" x14ac:dyDescent="0.6">
      <c r="G49" s="20"/>
      <c r="H49" s="20" t="s">
        <v>37</v>
      </c>
    </row>
    <row r="50" spans="2:20" ht="23.25" x14ac:dyDescent="0.6">
      <c r="B50" s="20"/>
      <c r="C50" s="20" t="s">
        <v>37</v>
      </c>
      <c r="D50" s="20" t="s">
        <v>38</v>
      </c>
      <c r="G50" s="20" t="s">
        <v>0</v>
      </c>
      <c r="H50" s="25">
        <f>C37</f>
        <v>2316.2799999999997</v>
      </c>
      <c r="R50" s="50" t="s">
        <v>39</v>
      </c>
      <c r="S50" s="50" t="s">
        <v>37</v>
      </c>
      <c r="T50" s="50" t="s">
        <v>38</v>
      </c>
    </row>
    <row r="51" spans="2:20" ht="23.25" x14ac:dyDescent="0.65">
      <c r="B51" s="20" t="s">
        <v>0</v>
      </c>
      <c r="C51" s="25">
        <f>C37</f>
        <v>2316.2799999999997</v>
      </c>
      <c r="D51" s="20">
        <f>D37</f>
        <v>13424</v>
      </c>
      <c r="G51" s="20" t="s">
        <v>55</v>
      </c>
      <c r="H51" s="26">
        <f>G37</f>
        <v>298.75</v>
      </c>
      <c r="R51" s="46" t="s">
        <v>25</v>
      </c>
      <c r="S51" s="23">
        <f>IFERROR(SUMIF(Transaction[Categorie],R51,Transaction[Montant]),"")</f>
        <v>0</v>
      </c>
      <c r="T51" s="31">
        <f>IFERROR(VLOOKUP(R51,Epargne_budget[],14,0),"")</f>
        <v>0</v>
      </c>
    </row>
    <row r="52" spans="2:20" ht="23.25" x14ac:dyDescent="0.65">
      <c r="B52" s="20" t="s">
        <v>55</v>
      </c>
      <c r="C52" s="26">
        <f>G37+K37+O37+S37</f>
        <v>868.06999999999994</v>
      </c>
      <c r="D52" s="26">
        <f>H37+L37+P37+T37</f>
        <v>1351.48</v>
      </c>
      <c r="G52" s="20" t="s">
        <v>20</v>
      </c>
      <c r="H52" s="25">
        <f>K37</f>
        <v>0</v>
      </c>
      <c r="R52" s="48" t="s">
        <v>26</v>
      </c>
      <c r="S52" s="23">
        <f>IFERROR(SUMIF(Transaction[Categorie],R52,Transaction[Montant]),"")</f>
        <v>0</v>
      </c>
      <c r="T52" s="31">
        <f>IFERROR(VLOOKUP(R52,Epargne_budget[],14,0),"")</f>
        <v>2437.92</v>
      </c>
    </row>
    <row r="53" spans="2:20" ht="23.25" x14ac:dyDescent="0.65">
      <c r="B53" s="20" t="s">
        <v>56</v>
      </c>
      <c r="C53" s="25">
        <f>C51-C52</f>
        <v>1448.2099999999998</v>
      </c>
      <c r="D53" s="20"/>
      <c r="G53" s="20" t="s">
        <v>42</v>
      </c>
      <c r="H53" s="25">
        <f>O37</f>
        <v>15.17</v>
      </c>
      <c r="R53" s="48" t="s">
        <v>27</v>
      </c>
      <c r="S53" s="23">
        <f>IFERROR(SUMIF(Transaction[Categorie],R53,Transaction[Montant]),"")</f>
        <v>551.75</v>
      </c>
      <c r="T53" s="31">
        <f>IFERROR(VLOOKUP(R53,Epargne_budget[],14,0),"")</f>
        <v>2700</v>
      </c>
    </row>
    <row r="54" spans="2:20" ht="23.25" x14ac:dyDescent="0.65">
      <c r="B54" s="20"/>
      <c r="C54" s="20"/>
      <c r="D54" s="20"/>
      <c r="G54" s="20" t="s">
        <v>39</v>
      </c>
      <c r="H54" s="25">
        <f>S37</f>
        <v>554.15</v>
      </c>
      <c r="R54" s="49"/>
      <c r="S54" s="23">
        <f>IFERROR(SUMIF(Transaction[Categorie],R54,Transaction[Montant]),"")</f>
        <v>0</v>
      </c>
      <c r="T54" s="31" t="str">
        <f>IFERROR(VLOOKUP(R54,Epargne_budget[],14,0),"")</f>
        <v/>
      </c>
    </row>
    <row r="55" spans="2:20" ht="21.75" customHeight="1" x14ac:dyDescent="0.65">
      <c r="B55" s="20" t="s">
        <v>60</v>
      </c>
      <c r="C55" s="44">
        <f>IFERROR(C52/C51,0)</f>
        <v>0.37476902619717822</v>
      </c>
      <c r="D55" s="20"/>
      <c r="R55" s="49"/>
      <c r="S55" s="23">
        <f>IFERROR(SUMIF(Transaction[Categorie],R55,Transaction[Montant]),"")</f>
        <v>0</v>
      </c>
      <c r="T55" s="31" t="str">
        <f>IFERROR(VLOOKUP(R55,Epargne_budget[],14,0),"")</f>
        <v/>
      </c>
    </row>
    <row r="56" spans="2:20" ht="23.25" x14ac:dyDescent="0.65">
      <c r="B56" s="20" t="s">
        <v>61</v>
      </c>
      <c r="C56" s="45">
        <f>1-C55</f>
        <v>0.62523097380282178</v>
      </c>
      <c r="D56" s="20"/>
      <c r="R56" s="49"/>
      <c r="S56" s="23">
        <f>IFERROR(SUMIF(Transaction[Categorie],R56,Transaction[Montant]),"")</f>
        <v>0</v>
      </c>
      <c r="T56" s="31" t="str">
        <f>IFERROR(VLOOKUP(R56,Epargne_budget[],14,0),"")</f>
        <v/>
      </c>
    </row>
    <row r="57" spans="2:20" ht="23.25" x14ac:dyDescent="0.65">
      <c r="B57" s="20"/>
      <c r="C57" s="20"/>
      <c r="D57" s="20"/>
      <c r="R57" s="49"/>
      <c r="S57" s="23">
        <f>IFERROR(SUMIF(Transaction[Categorie],R57,Transaction[Montant]),"")</f>
        <v>0</v>
      </c>
      <c r="T57" s="31" t="str">
        <f>IFERROR(VLOOKUP(R57,Epargne_budget[],14,0),"")</f>
        <v/>
      </c>
    </row>
    <row r="58" spans="2:20" ht="23.25" x14ac:dyDescent="0.65">
      <c r="B58" s="20"/>
      <c r="C58" s="20"/>
      <c r="D58" s="20"/>
      <c r="R58" s="49"/>
      <c r="S58" s="23">
        <f>IFERROR(SUMIF(Transaction[Categorie],R58,Transaction[Montant]),"")</f>
        <v>0</v>
      </c>
      <c r="T58" s="31" t="str">
        <f>IFERROR(VLOOKUP(R58,Epargne_budget[],14,0),"")</f>
        <v/>
      </c>
    </row>
    <row r="59" spans="2:20" ht="21.75" x14ac:dyDescent="0.6">
      <c r="B59" s="20" t="s">
        <v>55</v>
      </c>
      <c r="C59" s="20" t="s">
        <v>37</v>
      </c>
      <c r="D59" s="20" t="s">
        <v>38</v>
      </c>
    </row>
    <row r="60" spans="2:20" ht="21.75" x14ac:dyDescent="0.6">
      <c r="B60" s="20" t="s">
        <v>62</v>
      </c>
      <c r="C60" s="26">
        <f>G37</f>
        <v>298.75</v>
      </c>
      <c r="D60" s="26">
        <f>H37</f>
        <v>394.97</v>
      </c>
    </row>
    <row r="61" spans="2:20" ht="21.75" x14ac:dyDescent="0.6">
      <c r="B61" s="20" t="s">
        <v>42</v>
      </c>
      <c r="C61" s="25">
        <f>O37</f>
        <v>15.17</v>
      </c>
      <c r="D61" s="25">
        <f>P37</f>
        <v>453.35</v>
      </c>
    </row>
    <row r="62" spans="2:20" ht="21.75" x14ac:dyDescent="0.6">
      <c r="B62" s="20" t="s">
        <v>20</v>
      </c>
      <c r="C62" s="25">
        <f>K37</f>
        <v>0</v>
      </c>
      <c r="D62" s="25">
        <f>L37</f>
        <v>0</v>
      </c>
    </row>
    <row r="63" spans="2:20" ht="21.75" x14ac:dyDescent="0.6">
      <c r="B63" s="20" t="s">
        <v>39</v>
      </c>
      <c r="C63" s="25">
        <f>S37</f>
        <v>554.15</v>
      </c>
      <c r="D63" s="25">
        <f>T37</f>
        <v>503.15999999999997</v>
      </c>
    </row>
  </sheetData>
  <mergeCells count="1">
    <mergeCell ref="B6:D7"/>
  </mergeCells>
  <dataValidations count="1">
    <dataValidation type="list" allowBlank="1" showInputMessage="1" showErrorMessage="1" sqref="B6:D7" xr:uid="{CEA6B659-681D-48BE-BA4B-14284C333C27}">
      <formula1>"Tous les mois,Janvier,Février,Mars,Avril,Mai,Juin,Juillet,Aout,Septembre,Octobre,Novembre,Décembre"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4B4B6-5D80-44A3-B372-E93E82677D6D}"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10F3-B74E-4A41-BEC0-9B41865676DE}">
  <sheetPr codeName="Feuil2"/>
  <dimension ref="B3:G28"/>
  <sheetViews>
    <sheetView showGridLines="0" tabSelected="1" workbookViewId="0">
      <selection activeCell="F12" sqref="F12"/>
    </sheetView>
  </sheetViews>
  <sheetFormatPr baseColWidth="10" defaultColWidth="17.7109375" defaultRowHeight="21" customHeight="1" x14ac:dyDescent="0.3"/>
  <cols>
    <col min="1" max="1" width="17.7109375" style="7"/>
    <col min="2" max="2" width="21" style="7" customWidth="1"/>
    <col min="3" max="3" width="20.140625" style="7" bestFit="1" customWidth="1"/>
    <col min="4" max="4" width="19.42578125" style="7" bestFit="1" customWidth="1"/>
    <col min="5" max="5" width="17.7109375" style="7" customWidth="1"/>
    <col min="6" max="6" width="49.5703125" style="7" bestFit="1" customWidth="1"/>
    <col min="7" max="16384" width="17.7109375" style="7"/>
  </cols>
  <sheetData>
    <row r="3" spans="2:7" ht="21" customHeight="1" x14ac:dyDescent="0.3">
      <c r="E3" s="9"/>
      <c r="G3" s="106"/>
    </row>
    <row r="6" spans="2:7" ht="21" customHeight="1" x14ac:dyDescent="0.3">
      <c r="B6" s="10" t="s">
        <v>28</v>
      </c>
      <c r="C6" s="12">
        <f ca="1">TODAY()</f>
        <v>45783</v>
      </c>
      <c r="D6" s="10" t="s">
        <v>31</v>
      </c>
      <c r="E6" s="11" t="s">
        <v>13</v>
      </c>
    </row>
    <row r="7" spans="2:7" ht="21" customHeight="1" x14ac:dyDescent="0.3">
      <c r="B7" s="10" t="s">
        <v>29</v>
      </c>
      <c r="C7" s="11" t="s">
        <v>53</v>
      </c>
      <c r="D7" s="10" t="s">
        <v>32</v>
      </c>
      <c r="E7" s="13">
        <v>40</v>
      </c>
    </row>
    <row r="8" spans="2:7" ht="21" customHeight="1" x14ac:dyDescent="0.3">
      <c r="B8" s="10" t="s">
        <v>30</v>
      </c>
      <c r="C8" s="108" t="s">
        <v>90</v>
      </c>
      <c r="D8" s="109"/>
      <c r="E8" s="109"/>
    </row>
    <row r="10" spans="2:7" ht="21" customHeight="1" x14ac:dyDescent="0.4">
      <c r="B10" s="110" t="s">
        <v>33</v>
      </c>
      <c r="C10" s="110"/>
    </row>
    <row r="11" spans="2:7" ht="21" customHeight="1" x14ac:dyDescent="0.3">
      <c r="B11" s="8" t="s">
        <v>28</v>
      </c>
      <c r="C11" s="8" t="s">
        <v>31</v>
      </c>
      <c r="D11" s="8" t="s">
        <v>34</v>
      </c>
      <c r="E11" s="8" t="s">
        <v>32</v>
      </c>
      <c r="F11" s="8" t="s">
        <v>30</v>
      </c>
    </row>
    <row r="12" spans="2:7" ht="21" customHeight="1" x14ac:dyDescent="0.3">
      <c r="B12" s="14">
        <v>45783</v>
      </c>
      <c r="C12" s="15" t="s">
        <v>13</v>
      </c>
      <c r="D12" s="15" t="s">
        <v>53</v>
      </c>
      <c r="E12" s="111">
        <v>60.47</v>
      </c>
      <c r="F12" s="51" t="s">
        <v>89</v>
      </c>
    </row>
    <row r="13" spans="2:7" ht="21" customHeight="1" x14ac:dyDescent="0.3">
      <c r="B13" s="14">
        <v>45776</v>
      </c>
      <c r="C13" s="15" t="s">
        <v>13</v>
      </c>
      <c r="D13" s="15" t="s">
        <v>53</v>
      </c>
      <c r="E13" s="100">
        <v>20.5</v>
      </c>
      <c r="F13" s="99"/>
    </row>
    <row r="14" spans="2:7" ht="21" customHeight="1" x14ac:dyDescent="0.3">
      <c r="B14" s="14">
        <v>45776</v>
      </c>
      <c r="C14" s="15" t="s">
        <v>13</v>
      </c>
      <c r="D14" s="15" t="s">
        <v>14</v>
      </c>
      <c r="E14" s="100">
        <v>19</v>
      </c>
      <c r="F14" s="99"/>
    </row>
    <row r="15" spans="2:7" ht="21" customHeight="1" x14ac:dyDescent="0.3">
      <c r="B15" s="14">
        <v>45777</v>
      </c>
      <c r="C15" s="15" t="s">
        <v>13</v>
      </c>
      <c r="D15" s="15" t="s">
        <v>53</v>
      </c>
      <c r="E15" s="100">
        <v>73</v>
      </c>
      <c r="F15" s="99"/>
    </row>
    <row r="16" spans="2:7" ht="21" customHeight="1" x14ac:dyDescent="0.3">
      <c r="B16" s="14">
        <v>45776</v>
      </c>
      <c r="C16" s="15" t="s">
        <v>36</v>
      </c>
      <c r="D16" s="15" t="s">
        <v>58</v>
      </c>
      <c r="E16" s="100">
        <v>60.47</v>
      </c>
      <c r="F16" s="99"/>
    </row>
    <row r="17" spans="2:6" ht="21" hidden="1" customHeight="1" x14ac:dyDescent="0.3">
      <c r="B17" s="14">
        <v>45776</v>
      </c>
      <c r="C17" s="15" t="s">
        <v>13</v>
      </c>
      <c r="D17" s="15" t="s">
        <v>53</v>
      </c>
      <c r="E17" s="100">
        <v>73.75</v>
      </c>
      <c r="F17" s="99" t="s">
        <v>83</v>
      </c>
    </row>
    <row r="18" spans="2:6" ht="21" hidden="1" customHeight="1" x14ac:dyDescent="0.3">
      <c r="B18" s="14">
        <v>45776</v>
      </c>
      <c r="C18" s="15" t="s">
        <v>13</v>
      </c>
      <c r="D18" s="15" t="s">
        <v>53</v>
      </c>
      <c r="E18" s="100">
        <v>20.5</v>
      </c>
      <c r="F18" s="99" t="s">
        <v>82</v>
      </c>
    </row>
    <row r="19" spans="2:6" ht="21" hidden="1" customHeight="1" x14ac:dyDescent="0.3">
      <c r="B19" s="14">
        <v>45776</v>
      </c>
      <c r="C19" s="15" t="s">
        <v>13</v>
      </c>
      <c r="D19" s="15" t="s">
        <v>14</v>
      </c>
      <c r="E19" s="100">
        <v>19</v>
      </c>
      <c r="F19" s="99" t="s">
        <v>81</v>
      </c>
    </row>
    <row r="20" spans="2:6" ht="21" hidden="1" customHeight="1" x14ac:dyDescent="0.3">
      <c r="B20" s="14">
        <v>45775</v>
      </c>
      <c r="C20" s="15" t="s">
        <v>39</v>
      </c>
      <c r="D20" s="15" t="s">
        <v>27</v>
      </c>
      <c r="E20" s="100">
        <v>300</v>
      </c>
      <c r="F20" s="99" t="s">
        <v>86</v>
      </c>
    </row>
    <row r="21" spans="2:6" ht="21" hidden="1" customHeight="1" x14ac:dyDescent="0.3">
      <c r="B21" s="14">
        <v>45775</v>
      </c>
      <c r="C21" s="15" t="s">
        <v>39</v>
      </c>
      <c r="D21" s="15" t="s">
        <v>84</v>
      </c>
      <c r="E21" s="100">
        <v>2.4</v>
      </c>
      <c r="F21" s="99" t="s">
        <v>85</v>
      </c>
    </row>
    <row r="22" spans="2:6" ht="21" hidden="1" customHeight="1" x14ac:dyDescent="0.3">
      <c r="B22" s="14">
        <v>45775</v>
      </c>
      <c r="C22" s="15" t="s">
        <v>13</v>
      </c>
      <c r="D22" s="15" t="s">
        <v>18</v>
      </c>
      <c r="E22" s="100">
        <v>73</v>
      </c>
      <c r="F22" s="99" t="s">
        <v>80</v>
      </c>
    </row>
    <row r="23" spans="2:6" ht="21" hidden="1" customHeight="1" x14ac:dyDescent="0.3">
      <c r="B23" s="14">
        <v>45775</v>
      </c>
      <c r="C23" s="15" t="s">
        <v>39</v>
      </c>
      <c r="D23" s="15" t="s">
        <v>27</v>
      </c>
      <c r="E23" s="100">
        <v>144.80000000000001</v>
      </c>
      <c r="F23" s="99" t="s">
        <v>67</v>
      </c>
    </row>
    <row r="24" spans="2:6" ht="21" hidden="1" customHeight="1" x14ac:dyDescent="0.3">
      <c r="B24" s="14">
        <v>45775</v>
      </c>
      <c r="C24" s="15" t="s">
        <v>39</v>
      </c>
      <c r="D24" s="15" t="s">
        <v>27</v>
      </c>
      <c r="E24" s="100">
        <v>106.95</v>
      </c>
      <c r="F24" s="99" t="s">
        <v>66</v>
      </c>
    </row>
    <row r="25" spans="2:6" ht="21" hidden="1" customHeight="1" x14ac:dyDescent="0.3">
      <c r="B25" s="14">
        <v>45773</v>
      </c>
      <c r="C25" s="15" t="s">
        <v>42</v>
      </c>
      <c r="D25" s="15" t="s">
        <v>63</v>
      </c>
      <c r="E25" s="100">
        <v>15.17</v>
      </c>
      <c r="F25" s="51" t="s">
        <v>87</v>
      </c>
    </row>
    <row r="26" spans="2:6" ht="21" customHeight="1" x14ac:dyDescent="0.3">
      <c r="B26" s="14">
        <v>45772</v>
      </c>
      <c r="C26" s="15" t="s">
        <v>36</v>
      </c>
      <c r="D26" s="15" t="s">
        <v>12</v>
      </c>
      <c r="E26" s="100">
        <v>7.5</v>
      </c>
      <c r="F26" s="99"/>
    </row>
    <row r="27" spans="2:6" ht="21" customHeight="1" thickBot="1" x14ac:dyDescent="0.35">
      <c r="B27" s="14">
        <v>45772</v>
      </c>
      <c r="C27" s="15" t="s">
        <v>36</v>
      </c>
      <c r="D27" s="15" t="s">
        <v>11</v>
      </c>
      <c r="E27" s="100">
        <v>2255.81</v>
      </c>
      <c r="F27" s="99"/>
    </row>
    <row r="28" spans="2:6" ht="21" customHeight="1" x14ac:dyDescent="0.3">
      <c r="B28" s="96" t="s">
        <v>10</v>
      </c>
      <c r="C28" s="97"/>
      <c r="D28" s="97"/>
      <c r="E28" s="105">
        <f>SUBTOTAL(109,Transaction[Montant])</f>
        <v>2496.75</v>
      </c>
      <c r="F28" s="98"/>
    </row>
  </sheetData>
  <mergeCells count="2">
    <mergeCell ref="C8:E8"/>
    <mergeCell ref="B10:C10"/>
  </mergeCells>
  <dataValidations count="2">
    <dataValidation type="list" allowBlank="1" showInputMessage="1" showErrorMessage="1" sqref="E6" xr:uid="{E066EA3E-417A-4350-A49D-4AD4D176E44B}">
      <formula1>"Revenue,Depense,Credit,Facture,Epargne"</formula1>
    </dataValidation>
    <dataValidation type="list" allowBlank="1" showInputMessage="1" showErrorMessage="1" sqref="C7" xr:uid="{4A28748A-2012-4E65-8F0A-3BCF5EEA5B0A}">
      <formula1>INDIRECT($E6)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5CA8-764F-498A-A7E0-5C29E2BC6D50}">
  <sheetPr codeName="Feuil3"/>
  <dimension ref="B3:O57"/>
  <sheetViews>
    <sheetView showGridLines="0" workbookViewId="0">
      <selection activeCell="G12" sqref="G12"/>
    </sheetView>
  </sheetViews>
  <sheetFormatPr baseColWidth="10" defaultRowHeight="21" customHeight="1" x14ac:dyDescent="0.6"/>
  <cols>
    <col min="1" max="1" width="11.42578125" style="20"/>
    <col min="2" max="2" width="20.140625" style="20" bestFit="1" customWidth="1"/>
    <col min="3" max="9" width="16" style="20" bestFit="1" customWidth="1"/>
    <col min="10" max="10" width="16.140625" style="20" bestFit="1" customWidth="1"/>
    <col min="11" max="14" width="16" style="20" bestFit="1" customWidth="1"/>
    <col min="15" max="15" width="17.42578125" style="20" bestFit="1" customWidth="1"/>
    <col min="16" max="20" width="11.42578125" style="20"/>
    <col min="21" max="21" width="11.5703125" style="20" bestFit="1" customWidth="1"/>
    <col min="22" max="16384" width="11.42578125" style="20"/>
  </cols>
  <sheetData>
    <row r="3" spans="2:15" ht="21" customHeight="1" x14ac:dyDescent="0.6">
      <c r="G3" s="2"/>
    </row>
    <row r="5" spans="2:15" ht="21" customHeight="1" x14ac:dyDescent="0.6">
      <c r="B5" s="73" t="s">
        <v>0</v>
      </c>
      <c r="C5" s="73" t="s">
        <v>1</v>
      </c>
      <c r="D5" s="73" t="s">
        <v>54</v>
      </c>
      <c r="E5" s="73" t="s">
        <v>2</v>
      </c>
      <c r="F5" s="73" t="s">
        <v>3</v>
      </c>
      <c r="G5" s="73" t="s">
        <v>57</v>
      </c>
      <c r="H5" s="73" t="s">
        <v>4</v>
      </c>
      <c r="I5" s="73" t="s">
        <v>5</v>
      </c>
      <c r="J5" s="73" t="s">
        <v>6</v>
      </c>
      <c r="K5" s="73" t="s">
        <v>7</v>
      </c>
      <c r="L5" s="73" t="s">
        <v>8</v>
      </c>
      <c r="M5" s="73" t="s">
        <v>9</v>
      </c>
      <c r="N5" s="73" t="s">
        <v>59</v>
      </c>
      <c r="O5" s="73" t="s">
        <v>10</v>
      </c>
    </row>
    <row r="6" spans="2:15" ht="21" customHeight="1" x14ac:dyDescent="0.6">
      <c r="B6" s="1" t="s">
        <v>11</v>
      </c>
      <c r="C6" s="2"/>
      <c r="D6" s="2">
        <v>2255.81</v>
      </c>
      <c r="E6" s="2">
        <v>2366.39</v>
      </c>
      <c r="F6" s="2">
        <v>13424</v>
      </c>
      <c r="G6" s="2">
        <v>2255.81</v>
      </c>
      <c r="H6" s="2">
        <v>2324</v>
      </c>
      <c r="I6" s="2"/>
      <c r="J6" s="2"/>
      <c r="K6" s="2"/>
      <c r="L6" s="2"/>
      <c r="M6" s="2"/>
      <c r="N6" s="2"/>
      <c r="O6" s="2">
        <f>SUM(Revenue_budget[[#This Row],[Janvier]:[Décembre]])</f>
        <v>22626.010000000002</v>
      </c>
    </row>
    <row r="7" spans="2:15" ht="21" customHeight="1" x14ac:dyDescent="0.6">
      <c r="B7" s="3" t="s">
        <v>88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f>SUM(Revenue_budget[[#This Row],[Janvier]:[Décembre]])</f>
        <v>0</v>
      </c>
    </row>
    <row r="8" spans="2:15" ht="21" customHeight="1" x14ac:dyDescent="0.6">
      <c r="B8" s="3" t="s">
        <v>58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f>SUM(Revenue_budget[[#This Row],[Janvier]:[Décembre]])</f>
        <v>0</v>
      </c>
    </row>
    <row r="9" spans="2:15" ht="21" customHeight="1" x14ac:dyDescent="0.6">
      <c r="B9" s="5" t="s">
        <v>10</v>
      </c>
      <c r="C9" s="6">
        <f>SUBTOTAL(109,Revenue_budget[Janvier])</f>
        <v>0</v>
      </c>
      <c r="D9" s="6">
        <f>SUBTOTAL(109,Revenue_budget[Février])</f>
        <v>2255.81</v>
      </c>
      <c r="E9" s="6">
        <f>SUBTOTAL(109,Revenue_budget[Mars])</f>
        <v>2366.39</v>
      </c>
      <c r="F9" s="6">
        <f>SUBTOTAL(109,Revenue_budget[Avril])</f>
        <v>13424</v>
      </c>
      <c r="G9" s="6">
        <f>SUBTOTAL(109,Revenue_budget[Mai])</f>
        <v>2255.81</v>
      </c>
      <c r="H9" s="6">
        <f>SUBTOTAL(109,Revenue_budget[Juin])</f>
        <v>2324</v>
      </c>
      <c r="I9" s="6">
        <f>SUBTOTAL(109,Revenue_budget[Juillet])</f>
        <v>0</v>
      </c>
      <c r="J9" s="6">
        <f>SUBTOTAL(109,Revenue_budget[Aout])</f>
        <v>0</v>
      </c>
      <c r="K9" s="6">
        <f>SUBTOTAL(109,Revenue_budget[Septembre])</f>
        <v>0</v>
      </c>
      <c r="L9" s="6">
        <f>SUBTOTAL(109,Revenue_budget[Octobre])</f>
        <v>0</v>
      </c>
      <c r="M9" s="6">
        <f>SUBTOTAL(109,Revenue_budget[Novembre])</f>
        <v>0</v>
      </c>
      <c r="N9" s="6">
        <f>SUBTOTAL(109,Revenue_budget[Décembre])</f>
        <v>0</v>
      </c>
      <c r="O9" s="6">
        <f>SUBTOTAL(109,Revenue_budget[Total])</f>
        <v>22626.010000000002</v>
      </c>
    </row>
    <row r="13" spans="2:15" ht="21" customHeight="1" x14ac:dyDescent="0.6">
      <c r="B13" s="72" t="s">
        <v>13</v>
      </c>
      <c r="C13" s="72" t="s">
        <v>1</v>
      </c>
      <c r="D13" s="72" t="s">
        <v>54</v>
      </c>
      <c r="E13" s="72" t="s">
        <v>2</v>
      </c>
      <c r="F13" s="72" t="s">
        <v>3</v>
      </c>
      <c r="G13" s="72" t="s">
        <v>57</v>
      </c>
      <c r="H13" s="72" t="s">
        <v>4</v>
      </c>
      <c r="I13" s="72" t="s">
        <v>5</v>
      </c>
      <c r="J13" s="72" t="s">
        <v>6</v>
      </c>
      <c r="K13" s="72" t="s">
        <v>7</v>
      </c>
      <c r="L13" s="72" t="s">
        <v>8</v>
      </c>
      <c r="M13" s="72" t="s">
        <v>9</v>
      </c>
      <c r="N13" s="72" t="s">
        <v>59</v>
      </c>
      <c r="O13" s="72" t="s">
        <v>10</v>
      </c>
    </row>
    <row r="14" spans="2:15" ht="21" customHeight="1" x14ac:dyDescent="0.6">
      <c r="B14" s="1" t="s">
        <v>14</v>
      </c>
      <c r="C14" s="2">
        <v>44.97</v>
      </c>
      <c r="D14" s="2">
        <v>44.97</v>
      </c>
      <c r="E14" s="2">
        <v>44.97</v>
      </c>
      <c r="F14" s="2">
        <v>44.97</v>
      </c>
      <c r="G14" s="2">
        <v>44.97</v>
      </c>
      <c r="H14" s="2">
        <v>44.97</v>
      </c>
      <c r="I14" s="2">
        <v>92.95</v>
      </c>
      <c r="J14" s="2">
        <v>44.97</v>
      </c>
      <c r="K14" s="2">
        <v>44.97</v>
      </c>
      <c r="L14" s="2">
        <v>194.87</v>
      </c>
      <c r="M14" s="2">
        <v>44.97</v>
      </c>
      <c r="N14" s="2">
        <v>44.97</v>
      </c>
      <c r="O14" s="2">
        <f>SUM(Depense_budget[[#This Row],[Janvier]:[Décembre]])</f>
        <v>737.5200000000001</v>
      </c>
    </row>
    <row r="15" spans="2:15" ht="21" customHeight="1" x14ac:dyDescent="0.6">
      <c r="B15" s="1" t="s">
        <v>15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>
        <f>SUM(Depense_budget[[#This Row],[Janvier]:[Décembre]])</f>
        <v>0</v>
      </c>
    </row>
    <row r="16" spans="2:15" ht="21" customHeight="1" x14ac:dyDescent="0.6">
      <c r="B16" s="1" t="s">
        <v>65</v>
      </c>
      <c r="C16" s="2"/>
      <c r="D16" s="2"/>
      <c r="E16" s="2"/>
      <c r="F16" s="2"/>
      <c r="G16" s="2"/>
      <c r="H16" s="2"/>
      <c r="I16" s="2"/>
      <c r="J16" s="2"/>
      <c r="K16" s="2"/>
      <c r="L16" s="2">
        <v>197.88</v>
      </c>
      <c r="M16" s="2"/>
      <c r="N16" s="2"/>
      <c r="O16" s="2">
        <f>SUM(Depense_budget[[#This Row],[Janvier]:[Décembre]])</f>
        <v>197.88</v>
      </c>
    </row>
    <row r="17" spans="2:15" ht="21" customHeight="1" x14ac:dyDescent="0.6">
      <c r="B17" s="1" t="s">
        <v>41</v>
      </c>
      <c r="C17" s="2">
        <v>350</v>
      </c>
      <c r="D17" s="2">
        <v>350</v>
      </c>
      <c r="E17" s="2">
        <v>350</v>
      </c>
      <c r="F17" s="2">
        <v>350</v>
      </c>
      <c r="G17" s="2">
        <v>350</v>
      </c>
      <c r="H17" s="2">
        <v>350</v>
      </c>
      <c r="I17" s="2">
        <v>350</v>
      </c>
      <c r="J17" s="2">
        <v>350</v>
      </c>
      <c r="K17" s="2">
        <v>350</v>
      </c>
      <c r="L17" s="2">
        <v>350</v>
      </c>
      <c r="M17" s="2">
        <v>350</v>
      </c>
      <c r="N17" s="2">
        <v>350</v>
      </c>
      <c r="O17" s="2">
        <f>SUM(Depense_budget[[#This Row],[Janvier]:[Décembre]])</f>
        <v>4200</v>
      </c>
    </row>
    <row r="18" spans="2:15" ht="21" customHeight="1" x14ac:dyDescent="0.6">
      <c r="B18" s="3" t="s">
        <v>53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f>SUM(Depense_budget[[#This Row],[Janvier]:[Décembre]])</f>
        <v>0</v>
      </c>
    </row>
    <row r="19" spans="2:15" ht="21" customHeight="1" x14ac:dyDescent="0.6">
      <c r="B19" s="1" t="s">
        <v>16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>
        <f>SUM(Depense_budget[[#This Row],[Janvier]:[Décembre]])</f>
        <v>0</v>
      </c>
    </row>
    <row r="20" spans="2:15" ht="21" customHeight="1" x14ac:dyDescent="0.6">
      <c r="B20" s="1" t="s">
        <v>17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f>SUM(Depense_budget[[#This Row],[Janvier]:[Décembre]])</f>
        <v>0</v>
      </c>
    </row>
    <row r="21" spans="2:15" ht="21" customHeight="1" x14ac:dyDescent="0.6">
      <c r="B21" s="1" t="s">
        <v>18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>
        <f>SUM(Depense_budget[[#This Row],[Janvier]:[Décembre]])</f>
        <v>0</v>
      </c>
    </row>
    <row r="22" spans="2:15" ht="21" customHeight="1" x14ac:dyDescent="0.6">
      <c r="B22" s="1" t="s">
        <v>19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>
        <f>SUM(Depense_budget[[#This Row],[Janvier]:[Décembre]])</f>
        <v>0</v>
      </c>
    </row>
    <row r="23" spans="2:15" ht="21" customHeight="1" x14ac:dyDescent="0.6">
      <c r="B23" s="1" t="s">
        <v>49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>
        <f>SUM(Depense_budget[[#This Row],[Janvier]:[Décembre]])</f>
        <v>0</v>
      </c>
    </row>
    <row r="24" spans="2:15" ht="21" customHeight="1" x14ac:dyDescent="0.6">
      <c r="B24" s="5" t="s">
        <v>10</v>
      </c>
      <c r="C24" s="6">
        <f>SUBTOTAL(109,Depense_budget[Janvier])</f>
        <v>394.97</v>
      </c>
      <c r="D24" s="6">
        <f>SUBTOTAL(109,Depense_budget[Février])</f>
        <v>394.97</v>
      </c>
      <c r="E24" s="6">
        <f>SUBTOTAL(109,Depense_budget[Mars])</f>
        <v>394.97</v>
      </c>
      <c r="F24" s="6">
        <f>SUBTOTAL(109,Depense_budget[Avril])</f>
        <v>394.97</v>
      </c>
      <c r="G24" s="6">
        <f>SUBTOTAL(109,Depense_budget[Mai])</f>
        <v>394.97</v>
      </c>
      <c r="H24" s="6">
        <f>SUBTOTAL(109,Depense_budget[Juin])</f>
        <v>394.97</v>
      </c>
      <c r="I24" s="6">
        <f>SUBTOTAL(109,Depense_budget[Juillet])</f>
        <v>442.95</v>
      </c>
      <c r="J24" s="6">
        <f>SUBTOTAL(109,Depense_budget[Aout])</f>
        <v>394.97</v>
      </c>
      <c r="K24" s="6">
        <f>SUBTOTAL(109,Depense_budget[Septembre])</f>
        <v>394.97</v>
      </c>
      <c r="L24" s="6">
        <f>SUBTOTAL(109,Depense_budget[Octobre])</f>
        <v>742.75</v>
      </c>
      <c r="M24" s="6">
        <f>SUBTOTAL(109,Depense_budget[Novembre])</f>
        <v>394.97</v>
      </c>
      <c r="N24" s="6">
        <f>SUBTOTAL(109,Depense_budget[Décembre])</f>
        <v>394.97</v>
      </c>
      <c r="O24" s="6">
        <f>SUBTOTAL(109,Depense_budget[Total])</f>
        <v>5135.3999999999996</v>
      </c>
    </row>
    <row r="28" spans="2:15" ht="21" customHeight="1" x14ac:dyDescent="0.6">
      <c r="B28" s="74" t="s">
        <v>35</v>
      </c>
      <c r="C28" s="74" t="s">
        <v>1</v>
      </c>
      <c r="D28" s="74" t="s">
        <v>54</v>
      </c>
      <c r="E28" s="74" t="s">
        <v>2</v>
      </c>
      <c r="F28" s="74" t="s">
        <v>3</v>
      </c>
      <c r="G28" s="74" t="s">
        <v>57</v>
      </c>
      <c r="H28" s="74" t="s">
        <v>4</v>
      </c>
      <c r="I28" s="74" t="s">
        <v>5</v>
      </c>
      <c r="J28" s="74" t="s">
        <v>6</v>
      </c>
      <c r="K28" s="74" t="s">
        <v>7</v>
      </c>
      <c r="L28" s="74" t="s">
        <v>8</v>
      </c>
      <c r="M28" s="74" t="s">
        <v>9</v>
      </c>
      <c r="N28" s="74" t="s">
        <v>59</v>
      </c>
      <c r="O28" s="74" t="s">
        <v>10</v>
      </c>
    </row>
    <row r="29" spans="2:15" ht="21" customHeight="1" x14ac:dyDescent="0.6">
      <c r="B29" s="1" t="s">
        <v>23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>
        <f>SUM(Credit_budget[[#This Row],[Janvier]:[Décembre]])</f>
        <v>0</v>
      </c>
    </row>
    <row r="30" spans="2:15" ht="21" customHeight="1" x14ac:dyDescent="0.6">
      <c r="B30" s="3" t="s">
        <v>21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>
        <f>SUM(Credit_budget[[#This Row],[Janvier]:[Décembre]])</f>
        <v>0</v>
      </c>
    </row>
    <row r="31" spans="2:15" ht="21" customHeight="1" x14ac:dyDescent="0.6">
      <c r="B31" s="1" t="s">
        <v>22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>
        <f>SUM(Credit_budget[[#This Row],[Janvier]:[Décembre]])</f>
        <v>0</v>
      </c>
    </row>
    <row r="32" spans="2:15" ht="21" customHeight="1" x14ac:dyDescent="0.6">
      <c r="B32" s="5" t="s">
        <v>10</v>
      </c>
      <c r="C32" s="6">
        <f>SUBTOTAL(109,Credit_budget[Janvier])</f>
        <v>0</v>
      </c>
      <c r="D32" s="6">
        <f>SUBTOTAL(109,Credit_budget[Février])</f>
        <v>0</v>
      </c>
      <c r="E32" s="6">
        <f>SUBTOTAL(109,Credit_budget[Mars])</f>
        <v>0</v>
      </c>
      <c r="F32" s="6">
        <f>SUBTOTAL(109,Credit_budget[Avril])</f>
        <v>0</v>
      </c>
      <c r="G32" s="6">
        <f>SUBTOTAL(109,Credit_budget[Mai])</f>
        <v>0</v>
      </c>
      <c r="H32" s="6">
        <f>SUBTOTAL(109,Credit_budget[Juin])</f>
        <v>0</v>
      </c>
      <c r="I32" s="6">
        <f>SUBTOTAL(109,Credit_budget[Juillet])</f>
        <v>0</v>
      </c>
      <c r="J32" s="6">
        <f>SUBTOTAL(109,Credit_budget[Aout])</f>
        <v>0</v>
      </c>
      <c r="K32" s="6">
        <f>SUBTOTAL(109,Credit_budget[Septembre])</f>
        <v>0</v>
      </c>
      <c r="L32" s="6">
        <f>SUBTOTAL(109,Credit_budget[Octobre])</f>
        <v>0</v>
      </c>
      <c r="M32" s="6">
        <f>SUBTOTAL(109,Credit_budget[Novembre])</f>
        <v>0</v>
      </c>
      <c r="N32" s="6">
        <f>SUBTOTAL(109,Credit_budget[Décembre])</f>
        <v>0</v>
      </c>
      <c r="O32" s="6">
        <f>SUBTOTAL(109,Credit_budget[Total])</f>
        <v>0</v>
      </c>
    </row>
    <row r="36" spans="2:15" ht="21" customHeight="1" x14ac:dyDescent="0.6">
      <c r="B36" s="74" t="s">
        <v>42</v>
      </c>
      <c r="C36" s="74" t="s">
        <v>1</v>
      </c>
      <c r="D36" s="74" t="s">
        <v>54</v>
      </c>
      <c r="E36" s="74" t="s">
        <v>2</v>
      </c>
      <c r="F36" s="74" t="s">
        <v>3</v>
      </c>
      <c r="G36" s="74" t="s">
        <v>57</v>
      </c>
      <c r="H36" s="74" t="s">
        <v>4</v>
      </c>
      <c r="I36" s="74" t="s">
        <v>5</v>
      </c>
      <c r="J36" s="74" t="s">
        <v>6</v>
      </c>
      <c r="K36" s="74" t="s">
        <v>7</v>
      </c>
      <c r="L36" s="74" t="s">
        <v>8</v>
      </c>
      <c r="M36" s="74" t="s">
        <v>9</v>
      </c>
      <c r="N36" s="74" t="s">
        <v>59</v>
      </c>
      <c r="O36" s="74" t="s">
        <v>10</v>
      </c>
    </row>
    <row r="37" spans="2:15" ht="21" customHeight="1" x14ac:dyDescent="0.6">
      <c r="B37" s="22" t="s">
        <v>52</v>
      </c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>
        <f>SUM(Facture_budget[[#This Row],[Janvier]:[Décembre]])</f>
        <v>0</v>
      </c>
    </row>
    <row r="38" spans="2:15" ht="21" customHeight="1" x14ac:dyDescent="0.6">
      <c r="B38" s="1" t="s">
        <v>50</v>
      </c>
      <c r="C38" s="2">
        <v>18.190000000000001</v>
      </c>
      <c r="D38" s="2">
        <v>18.190000000000001</v>
      </c>
      <c r="E38" s="2">
        <v>18.190000000000001</v>
      </c>
      <c r="F38" s="2">
        <v>18.190000000000001</v>
      </c>
      <c r="G38" s="2">
        <v>18.190000000000001</v>
      </c>
      <c r="H38" s="2">
        <v>18.190000000000001</v>
      </c>
      <c r="I38" s="2">
        <v>18.190000000000001</v>
      </c>
      <c r="J38" s="2">
        <v>18.190000000000001</v>
      </c>
      <c r="K38" s="2">
        <v>18.190000000000001</v>
      </c>
      <c r="L38" s="2">
        <v>18.190000000000001</v>
      </c>
      <c r="M38" s="2">
        <v>18.190000000000001</v>
      </c>
      <c r="N38" s="2">
        <v>18.190000000000001</v>
      </c>
      <c r="O38" s="2">
        <f>SUM(Facture_budget[[#This Row],[Janvier]:[Décembre]])</f>
        <v>218.28</v>
      </c>
    </row>
    <row r="39" spans="2:15" ht="21" customHeight="1" x14ac:dyDescent="0.6">
      <c r="B39" s="3" t="s">
        <v>51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>
        <f>SUM(Facture_budget[[#This Row],[Janvier]:[Décembre]])</f>
        <v>0</v>
      </c>
    </row>
    <row r="40" spans="2:15" ht="21" customHeight="1" x14ac:dyDescent="0.6">
      <c r="B40" s="3" t="s">
        <v>44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>
        <f>SUM(Facture_budget[[#This Row],[Janvier]:[Décembre]])</f>
        <v>0</v>
      </c>
    </row>
    <row r="41" spans="2:15" ht="21" customHeight="1" x14ac:dyDescent="0.6">
      <c r="B41" s="3" t="s">
        <v>43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>
        <f>SUM(Facture_budget[[#This Row],[Janvier]:[Décembre]])</f>
        <v>0</v>
      </c>
    </row>
    <row r="42" spans="2:15" ht="21" customHeight="1" x14ac:dyDescent="0.6">
      <c r="B42" s="3" t="s">
        <v>46</v>
      </c>
      <c r="C42" s="4">
        <v>25</v>
      </c>
      <c r="D42" s="4">
        <v>25</v>
      </c>
      <c r="E42" s="4">
        <v>25</v>
      </c>
      <c r="F42" s="4">
        <v>25</v>
      </c>
      <c r="G42" s="4">
        <v>25</v>
      </c>
      <c r="H42" s="4">
        <v>25</v>
      </c>
      <c r="I42" s="4">
        <v>25</v>
      </c>
      <c r="J42" s="4">
        <v>25</v>
      </c>
      <c r="K42" s="4">
        <v>25</v>
      </c>
      <c r="L42" s="4">
        <v>25</v>
      </c>
      <c r="M42" s="4">
        <v>25</v>
      </c>
      <c r="N42" s="4">
        <v>25</v>
      </c>
      <c r="O42" s="4">
        <f>SUM(Facture_budget[[#This Row],[Janvier]:[Décembre]])</f>
        <v>300</v>
      </c>
    </row>
    <row r="43" spans="2:15" ht="21" customHeight="1" x14ac:dyDescent="0.6">
      <c r="B43" s="3" t="s">
        <v>45</v>
      </c>
      <c r="C43" s="4">
        <v>375</v>
      </c>
      <c r="D43" s="4">
        <v>375</v>
      </c>
      <c r="E43" s="4">
        <v>375</v>
      </c>
      <c r="F43" s="4">
        <v>375</v>
      </c>
      <c r="G43" s="4">
        <v>375</v>
      </c>
      <c r="H43" s="4">
        <v>375</v>
      </c>
      <c r="I43" s="4">
        <v>375</v>
      </c>
      <c r="J43" s="4">
        <v>375</v>
      </c>
      <c r="K43" s="4">
        <v>375</v>
      </c>
      <c r="L43" s="4">
        <v>375</v>
      </c>
      <c r="M43" s="4">
        <v>375</v>
      </c>
      <c r="N43" s="4">
        <v>375</v>
      </c>
      <c r="O43" s="4">
        <f>SUM(Facture_budget[[#This Row],[Janvier]:[Décembre]])</f>
        <v>4500</v>
      </c>
    </row>
    <row r="44" spans="2:15" ht="21" customHeight="1" x14ac:dyDescent="0.6">
      <c r="B44" s="1" t="s">
        <v>48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>
        <f>SUM(Facture_budget[[#This Row],[Janvier]:[Décembre]])</f>
        <v>0</v>
      </c>
    </row>
    <row r="45" spans="2:15" ht="21" customHeight="1" x14ac:dyDescent="0.6">
      <c r="B45" s="1" t="s">
        <v>63</v>
      </c>
      <c r="C45" s="2">
        <v>15.17</v>
      </c>
      <c r="D45" s="2">
        <v>15.17</v>
      </c>
      <c r="E45" s="2">
        <v>15.17</v>
      </c>
      <c r="F45" s="2">
        <v>15.17</v>
      </c>
      <c r="G45" s="2">
        <v>15.17</v>
      </c>
      <c r="H45" s="2">
        <v>15.17</v>
      </c>
      <c r="I45" s="2">
        <v>15.17</v>
      </c>
      <c r="J45" s="2">
        <v>15.17</v>
      </c>
      <c r="K45" s="2">
        <v>15.17</v>
      </c>
      <c r="L45" s="2">
        <v>15.17</v>
      </c>
      <c r="M45" s="2">
        <v>15.17</v>
      </c>
      <c r="N45" s="2">
        <v>15.17</v>
      </c>
      <c r="O45" s="2">
        <f>SUM(Facture_budget[[#This Row],[Janvier]:[Décembre]])</f>
        <v>182.03999999999996</v>
      </c>
    </row>
    <row r="46" spans="2:15" ht="21" customHeight="1" x14ac:dyDescent="0.6">
      <c r="B46" s="1" t="s">
        <v>64</v>
      </c>
      <c r="C46" s="2"/>
      <c r="D46" s="2"/>
      <c r="E46" s="2"/>
      <c r="F46" s="2">
        <v>43.05</v>
      </c>
      <c r="G46" s="2">
        <v>43.05</v>
      </c>
      <c r="H46" s="2">
        <v>43.05</v>
      </c>
      <c r="I46" s="2">
        <v>43.05</v>
      </c>
      <c r="J46" s="2">
        <v>43.05</v>
      </c>
      <c r="K46" s="2">
        <v>43.05</v>
      </c>
      <c r="L46" s="2">
        <v>43.05</v>
      </c>
      <c r="M46" s="2">
        <v>43.05</v>
      </c>
      <c r="N46" s="2">
        <v>43.05</v>
      </c>
      <c r="O46" s="2">
        <f>SUM(Facture_budget[[#This Row],[Janvier]:[Décembre]])</f>
        <v>387.45000000000005</v>
      </c>
    </row>
    <row r="47" spans="2:15" ht="21" customHeight="1" x14ac:dyDescent="0.6">
      <c r="B47" s="1" t="s">
        <v>47</v>
      </c>
      <c r="C47" s="2">
        <v>19.989999999999998</v>
      </c>
      <c r="D47" s="2">
        <v>19.989999999999998</v>
      </c>
      <c r="E47" s="2">
        <v>19.989999999999998</v>
      </c>
      <c r="F47" s="2">
        <v>19.989999999999998</v>
      </c>
      <c r="G47" s="2">
        <v>15.99</v>
      </c>
      <c r="H47" s="2">
        <v>15.99</v>
      </c>
      <c r="I47" s="2">
        <v>15.99</v>
      </c>
      <c r="J47" s="2">
        <v>15.99</v>
      </c>
      <c r="K47" s="2">
        <v>15.99</v>
      </c>
      <c r="L47" s="2">
        <v>15.99</v>
      </c>
      <c r="M47" s="2">
        <v>15.99</v>
      </c>
      <c r="N47" s="2">
        <v>15.99</v>
      </c>
      <c r="O47" s="2">
        <f>SUM(Facture_budget[[#This Row],[Janvier]:[Décembre]])</f>
        <v>207.88000000000002</v>
      </c>
    </row>
    <row r="48" spans="2:15" ht="21" customHeight="1" x14ac:dyDescent="0.6">
      <c r="B48" s="5" t="s">
        <v>10</v>
      </c>
      <c r="C48" s="6">
        <f>SUBTOTAL(109,Facture_budget[Janvier])</f>
        <v>453.35</v>
      </c>
      <c r="D48" s="6">
        <f>SUBTOTAL(109,Facture_budget[Février])</f>
        <v>453.35</v>
      </c>
      <c r="E48" s="6">
        <f>SUBTOTAL(109,Facture_budget[Mars])</f>
        <v>453.35</v>
      </c>
      <c r="F48" s="6">
        <f>SUBTOTAL(109,Facture_budget[Avril])</f>
        <v>496.40000000000003</v>
      </c>
      <c r="G48" s="6">
        <f>SUBTOTAL(109,Facture_budget[Mai])</f>
        <v>492.40000000000003</v>
      </c>
      <c r="H48" s="6">
        <f>SUBTOTAL(109,Facture_budget[Juin])</f>
        <v>492.40000000000003</v>
      </c>
      <c r="I48" s="6">
        <f>SUBTOTAL(109,Facture_budget[Juillet])</f>
        <v>492.40000000000003</v>
      </c>
      <c r="J48" s="6">
        <f>SUBTOTAL(109,Facture_budget[Aout])</f>
        <v>492.40000000000003</v>
      </c>
      <c r="K48" s="6">
        <f>SUBTOTAL(109,Facture_budget[Septembre])</f>
        <v>492.40000000000003</v>
      </c>
      <c r="L48" s="6">
        <f>SUBTOTAL(109,Facture_budget[Octobre])</f>
        <v>492.40000000000003</v>
      </c>
      <c r="M48" s="6">
        <f>SUBTOTAL(109,Facture_budget[Novembre])</f>
        <v>492.40000000000003</v>
      </c>
      <c r="N48" s="6">
        <f>SUBTOTAL(109,Facture_budget[Décembre])</f>
        <v>492.40000000000003</v>
      </c>
      <c r="O48" s="6">
        <f>SUBTOTAL(109,Facture_budget[Total])</f>
        <v>5795.65</v>
      </c>
    </row>
    <row r="49" spans="2:15" ht="21" customHeight="1" x14ac:dyDescent="0.6"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2:15" ht="21" customHeight="1" x14ac:dyDescent="0.6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2" spans="2:15" ht="21" customHeight="1" x14ac:dyDescent="0.6">
      <c r="B52" s="75" t="s">
        <v>24</v>
      </c>
      <c r="C52" s="75" t="s">
        <v>1</v>
      </c>
      <c r="D52" s="75" t="s">
        <v>54</v>
      </c>
      <c r="E52" s="75" t="s">
        <v>2</v>
      </c>
      <c r="F52" s="75" t="s">
        <v>3</v>
      </c>
      <c r="G52" s="75" t="s">
        <v>57</v>
      </c>
      <c r="H52" s="75" t="s">
        <v>4</v>
      </c>
      <c r="I52" s="75" t="s">
        <v>5</v>
      </c>
      <c r="J52" s="75" t="s">
        <v>6</v>
      </c>
      <c r="K52" s="75" t="s">
        <v>7</v>
      </c>
      <c r="L52" s="75" t="s">
        <v>8</v>
      </c>
      <c r="M52" s="75" t="s">
        <v>9</v>
      </c>
      <c r="N52" s="75" t="s">
        <v>59</v>
      </c>
      <c r="O52" s="75" t="s">
        <v>10</v>
      </c>
    </row>
    <row r="53" spans="2:15" ht="21" customHeight="1" x14ac:dyDescent="0.6">
      <c r="B53" s="1" t="s">
        <v>25</v>
      </c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>
        <f>SUM(Epargne_budget[[#This Row],[Janvier]:[Décembre]])</f>
        <v>0</v>
      </c>
    </row>
    <row r="54" spans="2:15" ht="21" customHeight="1" x14ac:dyDescent="0.6">
      <c r="B54" s="3" t="s">
        <v>27</v>
      </c>
      <c r="C54" s="70">
        <v>0</v>
      </c>
      <c r="D54" s="70">
        <v>0</v>
      </c>
      <c r="E54" s="70">
        <v>0</v>
      </c>
      <c r="F54" s="70">
        <v>300</v>
      </c>
      <c r="G54" s="70">
        <v>300</v>
      </c>
      <c r="H54" s="70">
        <v>300</v>
      </c>
      <c r="I54" s="70">
        <v>300</v>
      </c>
      <c r="J54" s="70">
        <v>300</v>
      </c>
      <c r="K54" s="70">
        <v>300</v>
      </c>
      <c r="L54" s="70">
        <v>300</v>
      </c>
      <c r="M54" s="70">
        <v>300</v>
      </c>
      <c r="N54" s="70">
        <v>300</v>
      </c>
      <c r="O54" s="70">
        <f>SUM(Epargne_budget[[#This Row],[Janvier]:[Décembre]])</f>
        <v>2700</v>
      </c>
    </row>
    <row r="55" spans="2:15" ht="21" customHeight="1" x14ac:dyDescent="0.6">
      <c r="B55" s="3" t="s">
        <v>84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>
        <f>SUM(Epargne_budget[[#This Row],[Janvier]:[Décembre]])</f>
        <v>0</v>
      </c>
    </row>
    <row r="56" spans="2:15" ht="21" customHeight="1" x14ac:dyDescent="0.6">
      <c r="B56" s="3" t="s">
        <v>26</v>
      </c>
      <c r="C56" s="4">
        <v>203.16</v>
      </c>
      <c r="D56" s="4">
        <v>203.16</v>
      </c>
      <c r="E56" s="4">
        <v>203.16</v>
      </c>
      <c r="F56" s="4">
        <v>203.16</v>
      </c>
      <c r="G56" s="4">
        <v>203.16</v>
      </c>
      <c r="H56" s="4">
        <v>203.16</v>
      </c>
      <c r="I56" s="4">
        <v>203.16</v>
      </c>
      <c r="J56" s="4">
        <v>203.16</v>
      </c>
      <c r="K56" s="4">
        <v>203.16</v>
      </c>
      <c r="L56" s="4">
        <v>203.16</v>
      </c>
      <c r="M56" s="4">
        <v>203.16</v>
      </c>
      <c r="N56" s="4">
        <v>203.16</v>
      </c>
      <c r="O56" s="4">
        <f>SUM(Epargne_budget[[#This Row],[Janvier]:[Décembre]])</f>
        <v>2437.92</v>
      </c>
    </row>
    <row r="57" spans="2:15" ht="21" customHeight="1" x14ac:dyDescent="0.6">
      <c r="B57" s="5" t="s">
        <v>10</v>
      </c>
      <c r="C57" s="6">
        <f>SUBTOTAL(109,Epargne_budget[Janvier])</f>
        <v>203.16</v>
      </c>
      <c r="D57" s="6">
        <f>SUBTOTAL(109,Epargne_budget[Février])</f>
        <v>203.16</v>
      </c>
      <c r="E57" s="6">
        <f>SUBTOTAL(109,Epargne_budget[Mars])</f>
        <v>203.16</v>
      </c>
      <c r="F57" s="6">
        <f>SUBTOTAL(109,Epargne_budget[Avril])</f>
        <v>503.15999999999997</v>
      </c>
      <c r="G57" s="6">
        <f>SUBTOTAL(109,Epargne_budget[Mai])</f>
        <v>503.15999999999997</v>
      </c>
      <c r="H57" s="6">
        <f>SUBTOTAL(109,Epargne_budget[Juin])</f>
        <v>503.15999999999997</v>
      </c>
      <c r="I57" s="6">
        <f>SUBTOTAL(109,Epargne_budget[Juillet])</f>
        <v>503.15999999999997</v>
      </c>
      <c r="J57" s="6">
        <f>SUBTOTAL(109,Epargne_budget[Aout])</f>
        <v>503.15999999999997</v>
      </c>
      <c r="K57" s="6">
        <f>SUBTOTAL(109,Epargne_budget[Septembre])</f>
        <v>503.15999999999997</v>
      </c>
      <c r="L57" s="6">
        <f>SUBTOTAL(109,Epargne_budget[Octobre])</f>
        <v>503.15999999999997</v>
      </c>
      <c r="M57" s="6">
        <f>SUBTOTAL(109,Epargne_budget[Novembre])</f>
        <v>503.15999999999997</v>
      </c>
      <c r="N57" s="6">
        <f>SUBTOTAL(109,Epargne_budget[Décembre])</f>
        <v>503.15999999999997</v>
      </c>
      <c r="O57" s="6">
        <f>SUBTOTAL(109,Epargne_budget[Total])</f>
        <v>5137.92</v>
      </c>
    </row>
  </sheetData>
  <phoneticPr fontId="12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F969F-CB86-4003-9550-E8F878A54EA8}">
  <sheetPr codeName="Feuil4"/>
  <dimension ref="B3:I14"/>
  <sheetViews>
    <sheetView showGridLines="0" workbookViewId="0">
      <selection activeCell="D5" sqref="D5"/>
    </sheetView>
  </sheetViews>
  <sheetFormatPr baseColWidth="10" defaultRowHeight="21.75" x14ac:dyDescent="0.6"/>
  <cols>
    <col min="1" max="1" width="11.42578125" style="20"/>
    <col min="2" max="2" width="20.7109375" style="20" customWidth="1"/>
    <col min="3" max="4" width="17.7109375" style="20" customWidth="1"/>
    <col min="5" max="6" width="26" style="20" bestFit="1" customWidth="1"/>
    <col min="7" max="7" width="20.7109375" style="20" customWidth="1"/>
    <col min="8" max="8" width="21.42578125" style="20" bestFit="1" customWidth="1"/>
    <col min="9" max="16384" width="11.42578125" style="20"/>
  </cols>
  <sheetData>
    <row r="3" spans="2:9" x14ac:dyDescent="0.6">
      <c r="I3" s="80"/>
    </row>
    <row r="4" spans="2:9" ht="23.25" x14ac:dyDescent="0.65">
      <c r="C4" s="88" t="s">
        <v>28</v>
      </c>
      <c r="D4" s="102">
        <v>45774</v>
      </c>
      <c r="E4" s="88" t="s">
        <v>31</v>
      </c>
      <c r="F4" s="101" t="s">
        <v>78</v>
      </c>
      <c r="G4" s="78"/>
      <c r="H4" s="81"/>
    </row>
    <row r="5" spans="2:9" ht="23.25" x14ac:dyDescent="0.65">
      <c r="C5" s="88" t="s">
        <v>76</v>
      </c>
      <c r="D5" s="101" t="s">
        <v>74</v>
      </c>
      <c r="E5" s="88" t="s">
        <v>69</v>
      </c>
      <c r="F5" s="104"/>
    </row>
    <row r="6" spans="2:9" ht="21" customHeight="1" x14ac:dyDescent="0.65">
      <c r="C6" s="88" t="s">
        <v>70</v>
      </c>
      <c r="D6" s="103"/>
      <c r="E6" s="89" t="s">
        <v>71</v>
      </c>
      <c r="F6" s="86"/>
      <c r="G6" s="89" t="s">
        <v>32</v>
      </c>
      <c r="H6" s="87"/>
    </row>
    <row r="7" spans="2:9" customFormat="1" ht="21" customHeight="1" x14ac:dyDescent="0.25"/>
    <row r="9" spans="2:9" ht="28.5" x14ac:dyDescent="0.8">
      <c r="B9" s="79" t="s">
        <v>73</v>
      </c>
    </row>
    <row r="10" spans="2:9" x14ac:dyDescent="0.6">
      <c r="B10" s="83" t="s">
        <v>28</v>
      </c>
      <c r="C10" s="82" t="s">
        <v>76</v>
      </c>
      <c r="D10" s="82" t="s">
        <v>31</v>
      </c>
      <c r="E10" s="82" t="s">
        <v>69</v>
      </c>
      <c r="F10" s="82" t="s">
        <v>70</v>
      </c>
      <c r="G10" s="82" t="s">
        <v>71</v>
      </c>
      <c r="H10" s="82" t="s">
        <v>72</v>
      </c>
    </row>
    <row r="11" spans="2:9" x14ac:dyDescent="0.6">
      <c r="B11" s="94"/>
      <c r="C11" s="94"/>
      <c r="D11" s="83"/>
      <c r="E11" s="104"/>
      <c r="F11" s="83"/>
      <c r="G11" s="90"/>
      <c r="H11" s="90"/>
    </row>
    <row r="12" spans="2:9" x14ac:dyDescent="0.6">
      <c r="B12" s="94"/>
      <c r="C12" s="94"/>
      <c r="D12" s="83"/>
      <c r="E12" s="84"/>
      <c r="F12" s="83"/>
      <c r="G12" s="90"/>
      <c r="H12" s="90"/>
    </row>
    <row r="13" spans="2:9" x14ac:dyDescent="0.6">
      <c r="B13" s="94"/>
      <c r="C13" s="94"/>
      <c r="D13" s="83" t="s">
        <v>79</v>
      </c>
      <c r="E13" s="84"/>
      <c r="F13" s="83"/>
      <c r="G13" s="90"/>
      <c r="H13" s="90"/>
    </row>
    <row r="14" spans="2:9" x14ac:dyDescent="0.6">
      <c r="B14" s="95"/>
      <c r="C14" s="91"/>
      <c r="D14" s="92"/>
      <c r="E14" s="85"/>
      <c r="F14" s="92"/>
      <c r="G14" s="93"/>
      <c r="H14" s="93"/>
    </row>
  </sheetData>
  <dataValidations count="1">
    <dataValidation type="list" allowBlank="1" showInputMessage="1" showErrorMessage="1" sqref="H4 D5" xr:uid="{CA63D7D3-3A60-4C8F-B8B1-AEAA805907E5}">
      <formula1>"Achat,Vente,Virement"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7EC2CB-6A9E-486A-A434-9C21A446142D}">
          <x14:formula1>
            <xm:f>Données!$C$3:$C$5</xm:f>
          </x14:formula1>
          <xm:sqref>F4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C289C-E53A-46B2-AF65-E78BC3232F98}">
  <sheetPr codeName="Feuil5"/>
  <dimension ref="B2:C5"/>
  <sheetViews>
    <sheetView workbookViewId="0">
      <selection activeCell="E20" sqref="E20"/>
    </sheetView>
  </sheetViews>
  <sheetFormatPr baseColWidth="10" defaultColWidth="15.7109375" defaultRowHeight="22.5" customHeight="1" x14ac:dyDescent="0.25"/>
  <cols>
    <col min="9" max="9" width="49.5703125" bestFit="1" customWidth="1"/>
  </cols>
  <sheetData>
    <row r="2" spans="2:3" ht="22.5" customHeight="1" x14ac:dyDescent="0.6">
      <c r="B2" s="20" t="s">
        <v>76</v>
      </c>
      <c r="C2" s="20" t="s">
        <v>31</v>
      </c>
    </row>
    <row r="3" spans="2:3" ht="22.5" customHeight="1" x14ac:dyDescent="0.6">
      <c r="B3" s="20" t="s">
        <v>68</v>
      </c>
      <c r="C3" s="83" t="s">
        <v>79</v>
      </c>
    </row>
    <row r="4" spans="2:3" ht="22.5" customHeight="1" x14ac:dyDescent="0.6">
      <c r="B4" s="20" t="s">
        <v>74</v>
      </c>
      <c r="C4" s="83" t="s">
        <v>77</v>
      </c>
    </row>
    <row r="5" spans="2:3" ht="22.5" customHeight="1" x14ac:dyDescent="0.6">
      <c r="B5" s="20" t="s">
        <v>75</v>
      </c>
      <c r="C5" s="83" t="s">
        <v>78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Dashboard</vt:lpstr>
      <vt:lpstr>Comptes</vt:lpstr>
      <vt:lpstr>Transaction</vt:lpstr>
      <vt:lpstr>Budget</vt:lpstr>
      <vt:lpstr>PEA</vt:lpstr>
      <vt:lpstr>Données</vt:lpstr>
      <vt:lpstr>Credit</vt:lpstr>
      <vt:lpstr>Depense</vt:lpstr>
      <vt:lpstr>Epargne</vt:lpstr>
      <vt:lpstr>Facture</vt:lpstr>
      <vt:lpstr>Revenue</vt:lpstr>
      <vt:lpstr>TypeP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PITREL</dc:creator>
  <cp:lastModifiedBy>MAXIME PITREL</cp:lastModifiedBy>
  <dcterms:created xsi:type="dcterms:W3CDTF">2025-04-25T16:50:23Z</dcterms:created>
  <dcterms:modified xsi:type="dcterms:W3CDTF">2025-05-06T19:32:47Z</dcterms:modified>
</cp:coreProperties>
</file>