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2PAT\Downloads\"/>
    </mc:Choice>
  </mc:AlternateContent>
  <bookViews>
    <workbookView xWindow="480" yWindow="30" windowWidth="9195" windowHeight="7170" firstSheet="1" activeTab="1"/>
  </bookViews>
  <sheets>
    <sheet name="Dolphin4POF" sheetId="5" state="hidden" r:id="rId1"/>
    <sheet name="Base" sheetId="1" r:id="rId2"/>
    <sheet name="Base1" sheetId="13" r:id="rId3"/>
  </sheets>
  <definedNames>
    <definedName name="_xlnm._FilterDatabase" localSheetId="0" hidden="1">Dolphin4POF!$A$112:$B$112</definedName>
    <definedName name="date">#REF!</definedName>
  </definedNames>
  <calcPr calcId="152511"/>
</workbook>
</file>

<file path=xl/calcChain.xml><?xml version="1.0" encoding="utf-8"?>
<calcChain xmlns="http://schemas.openxmlformats.org/spreadsheetml/2006/main">
  <c r="B3" i="1" l="1"/>
  <c r="G113" i="5" l="1"/>
  <c r="F113" i="5"/>
  <c r="E113" i="5"/>
  <c r="D113" i="5"/>
  <c r="C113" i="5"/>
  <c r="G66" i="5"/>
  <c r="F66" i="5"/>
  <c r="E66" i="5"/>
  <c r="D66" i="5"/>
  <c r="C66" i="5"/>
  <c r="Q10" i="5"/>
  <c r="P10" i="5"/>
  <c r="O10" i="5"/>
  <c r="N10" i="5"/>
  <c r="M10" i="5"/>
  <c r="L10" i="5"/>
  <c r="K10" i="5"/>
  <c r="J10" i="5"/>
  <c r="I10" i="5"/>
  <c r="H10" i="5"/>
  <c r="G10" i="5"/>
  <c r="F10" i="5"/>
  <c r="E10" i="5"/>
  <c r="D10" i="5"/>
  <c r="C10" i="5"/>
  <c r="D71" i="1"/>
  <c r="C81" i="1"/>
  <c r="D85" i="1"/>
  <c r="C58" i="1"/>
  <c r="E67" i="1"/>
  <c r="E13" i="1"/>
  <c r="D51" i="1"/>
  <c r="C61" i="1"/>
  <c r="D65" i="1"/>
  <c r="C39" i="1"/>
  <c r="E23" i="1"/>
  <c r="C53" i="1"/>
  <c r="D64" i="1"/>
  <c r="D28" i="1"/>
  <c r="E31" i="1"/>
  <c r="D37" i="1"/>
  <c r="D31" i="1"/>
  <c r="E39" i="1"/>
  <c r="D45" i="1"/>
  <c r="C79" i="1"/>
  <c r="E7" i="1"/>
  <c r="D17" i="1"/>
  <c r="C23" i="1"/>
  <c r="C55" i="1"/>
  <c r="E6" i="1"/>
  <c r="C41" i="1"/>
  <c r="E53" i="1"/>
  <c r="E81" i="1"/>
  <c r="C82" i="1"/>
  <c r="C8" i="1"/>
  <c r="D16" i="1"/>
  <c r="E68" i="1"/>
  <c r="D78" i="1"/>
  <c r="E82" i="1"/>
  <c r="C18" i="1"/>
  <c r="E27" i="1"/>
  <c r="D33" i="1"/>
  <c r="D40" i="1"/>
  <c r="E73" i="1"/>
  <c r="C84" i="1"/>
  <c r="D74" i="1"/>
  <c r="C71" i="1"/>
  <c r="D14" i="1"/>
  <c r="E76" i="1"/>
  <c r="E85" i="1"/>
  <c r="E9" i="1"/>
  <c r="D63" i="1"/>
  <c r="C73" i="1"/>
  <c r="D77" i="1"/>
  <c r="E12" i="1"/>
  <c r="C21" i="1"/>
  <c r="D49" i="1"/>
  <c r="D56" i="1"/>
  <c r="D15" i="1"/>
  <c r="D80" i="1"/>
  <c r="D25" i="1"/>
  <c r="D58" i="1"/>
  <c r="D46" i="1"/>
  <c r="D8" i="1"/>
  <c r="D7" i="1"/>
  <c r="C6" i="1"/>
  <c r="C13" i="1"/>
  <c r="D21" i="1"/>
  <c r="C27" i="1"/>
  <c r="D79" i="1"/>
  <c r="D29" i="1"/>
  <c r="D36" i="1"/>
  <c r="E72" i="1"/>
  <c r="D82" i="1"/>
  <c r="E29" i="1"/>
  <c r="D60" i="1"/>
  <c r="D41" i="1"/>
  <c r="E14" i="1"/>
  <c r="E35" i="1"/>
  <c r="C22" i="1"/>
  <c r="D54" i="1"/>
  <c r="E58" i="1"/>
  <c r="E52" i="1"/>
  <c r="D62" i="1"/>
  <c r="E66" i="1"/>
  <c r="D23" i="1"/>
  <c r="C33" i="1"/>
  <c r="E38" i="1"/>
  <c r="E45" i="1"/>
  <c r="D84" i="1"/>
  <c r="E37" i="1"/>
  <c r="C85" i="1"/>
  <c r="E11" i="1"/>
  <c r="E16" i="1"/>
  <c r="C25" i="1"/>
  <c r="C32" i="1"/>
  <c r="D6" i="1"/>
  <c r="C9" i="1"/>
  <c r="E18" i="1"/>
  <c r="D24" i="1"/>
  <c r="E40" i="1"/>
  <c r="D50" i="1"/>
  <c r="E54" i="1"/>
  <c r="E61" i="1"/>
  <c r="C26" i="1"/>
  <c r="E20" i="1"/>
  <c r="C36" i="1"/>
  <c r="C69" i="1"/>
  <c r="C10" i="1"/>
  <c r="E19" i="1"/>
  <c r="E26" i="1"/>
  <c r="E33" i="1"/>
  <c r="E84" i="1"/>
  <c r="C12" i="1"/>
  <c r="C19" i="1"/>
  <c r="D35" i="1"/>
  <c r="E43" i="1"/>
  <c r="E70" i="1"/>
  <c r="E77" i="1"/>
  <c r="D59" i="1"/>
  <c r="C54" i="1"/>
  <c r="C68" i="1"/>
  <c r="C52" i="1"/>
  <c r="D27" i="1"/>
  <c r="D11" i="1"/>
  <c r="E28" i="1"/>
  <c r="C37" i="1"/>
  <c r="E42" i="1"/>
  <c r="C14" i="1"/>
  <c r="D22" i="1"/>
  <c r="E50" i="1"/>
  <c r="E57" i="1"/>
  <c r="C64" i="1"/>
  <c r="C30" i="1"/>
  <c r="C44" i="1"/>
  <c r="E48" i="1"/>
  <c r="D20" i="1"/>
  <c r="C66" i="1"/>
  <c r="E21" i="1"/>
  <c r="C24" i="1"/>
  <c r="D67" i="1"/>
  <c r="D81" i="1"/>
  <c r="E80" i="1"/>
  <c r="C7" i="1"/>
  <c r="E60" i="1"/>
  <c r="E74" i="1"/>
  <c r="C57" i="1"/>
  <c r="D68" i="1"/>
  <c r="E10" i="1"/>
  <c r="E49" i="1"/>
  <c r="D30" i="1"/>
  <c r="C59" i="1"/>
  <c r="C65" i="1"/>
  <c r="C42" i="1"/>
  <c r="C56" i="1"/>
  <c r="C78" i="1"/>
  <c r="C35" i="1"/>
  <c r="E62" i="1"/>
  <c r="C75" i="1"/>
  <c r="D9" i="1"/>
  <c r="E36" i="1"/>
  <c r="E15" i="1"/>
  <c r="C51" i="1"/>
  <c r="E69" i="1"/>
  <c r="E30" i="1"/>
  <c r="E75" i="1"/>
  <c r="C74" i="1"/>
  <c r="C31" i="1"/>
  <c r="E55" i="1"/>
  <c r="C67" i="1"/>
  <c r="E32" i="1"/>
  <c r="C20" i="1"/>
  <c r="C49" i="1"/>
  <c r="E24" i="1"/>
  <c r="C40" i="1"/>
  <c r="C62" i="1"/>
  <c r="C76" i="1"/>
  <c r="C70" i="1"/>
  <c r="E78" i="1"/>
  <c r="C34" i="1"/>
  <c r="C48" i="1"/>
  <c r="C29" i="1"/>
  <c r="E41" i="1"/>
  <c r="D66" i="1"/>
  <c r="D44" i="1"/>
  <c r="D18" i="1"/>
  <c r="D48" i="1"/>
  <c r="D10" i="1"/>
  <c r="C50" i="1"/>
  <c r="C45" i="1"/>
  <c r="D38" i="1"/>
  <c r="D72" i="1"/>
  <c r="D43" i="1"/>
  <c r="E25" i="1"/>
  <c r="C16" i="1"/>
  <c r="C17" i="1"/>
  <c r="D52" i="1"/>
  <c r="C77" i="1"/>
  <c r="D76" i="1"/>
  <c r="D75" i="1"/>
  <c r="C15" i="1"/>
  <c r="D70" i="1"/>
  <c r="D47" i="1"/>
  <c r="D61" i="1"/>
  <c r="D83" i="1"/>
  <c r="E17" i="1"/>
  <c r="E79" i="1"/>
  <c r="C43" i="1"/>
  <c r="D55" i="1"/>
  <c r="D69" i="1"/>
  <c r="E51" i="1"/>
  <c r="C63" i="1"/>
  <c r="C28" i="1"/>
  <c r="E65" i="1"/>
  <c r="E63" i="1"/>
  <c r="D13" i="1"/>
  <c r="D12" i="1"/>
  <c r="E59" i="1"/>
  <c r="C72" i="1"/>
  <c r="E22" i="1"/>
  <c r="E8" i="1"/>
  <c r="D57" i="1"/>
  <c r="E44" i="1"/>
  <c r="C80" i="1"/>
  <c r="E83" i="1"/>
  <c r="C46" i="1"/>
  <c r="C60" i="1"/>
  <c r="C38" i="1"/>
  <c r="E46" i="1"/>
  <c r="D39" i="1"/>
  <c r="D53" i="1"/>
  <c r="D34" i="1"/>
  <c r="C47" i="1"/>
  <c r="E71" i="1"/>
  <c r="C83" i="1"/>
  <c r="E64" i="1"/>
  <c r="D73" i="1"/>
  <c r="D42" i="1"/>
  <c r="D19" i="1"/>
  <c r="E34" i="1"/>
  <c r="E56" i="1"/>
  <c r="C11" i="1"/>
  <c r="E47" i="1"/>
  <c r="D32" i="1"/>
  <c r="D26" i="1"/>
  <c r="B52" i="1" l="1"/>
  <c r="B75" i="1"/>
  <c r="B68" i="1"/>
  <c r="B54" i="1"/>
  <c r="B35" i="1"/>
  <c r="B11" i="1"/>
  <c r="B28" i="1"/>
  <c r="B21" i="1"/>
  <c r="B78" i="1"/>
  <c r="B63" i="1"/>
  <c r="B19" i="1"/>
  <c r="B56" i="1"/>
  <c r="B12" i="1"/>
  <c r="B73" i="1"/>
  <c r="B29" i="1"/>
  <c r="B42" i="1"/>
  <c r="B48" i="1"/>
  <c r="B65" i="1"/>
  <c r="B34" i="1"/>
  <c r="B10" i="1"/>
  <c r="B59" i="1"/>
  <c r="B69" i="1"/>
  <c r="B71" i="1"/>
  <c r="B43" i="1"/>
  <c r="B36" i="1"/>
  <c r="B84" i="1"/>
  <c r="B70" i="1"/>
  <c r="B26" i="1"/>
  <c r="B83" i="1"/>
  <c r="B76" i="1"/>
  <c r="B62" i="1"/>
  <c r="B18" i="1"/>
  <c r="B47" i="1"/>
  <c r="B40" i="1"/>
  <c r="B57" i="1"/>
  <c r="B9" i="1"/>
  <c r="B32" i="1"/>
  <c r="B8" i="1"/>
  <c r="B49" i="1"/>
  <c r="B25" i="1"/>
  <c r="B82" i="1"/>
  <c r="B15" i="1"/>
  <c r="B20" i="1"/>
  <c r="B7" i="1"/>
  <c r="B85" i="1"/>
  <c r="B41" i="1"/>
  <c r="B38" i="1"/>
  <c r="B55" i="1"/>
  <c r="B67" i="1"/>
  <c r="B23" i="1"/>
  <c r="B60" i="1"/>
  <c r="B77" i="1"/>
  <c r="B33" i="1"/>
  <c r="B46" i="1"/>
  <c r="B79" i="1"/>
  <c r="B31" i="1"/>
  <c r="B24" i="1"/>
  <c r="B17" i="1"/>
  <c r="B74" i="1"/>
  <c r="B80" i="1"/>
  <c r="B16" i="1"/>
  <c r="B66" i="1"/>
  <c r="B22" i="1"/>
  <c r="B53" i="1"/>
  <c r="B39" i="1"/>
  <c r="B51" i="1"/>
  <c r="B44" i="1"/>
  <c r="B61" i="1"/>
  <c r="B30" i="1"/>
  <c r="B72" i="1"/>
  <c r="B45" i="1"/>
  <c r="B58" i="1"/>
  <c r="B14" i="1"/>
  <c r="B27" i="1"/>
  <c r="B64" i="1"/>
  <c r="B81" i="1"/>
  <c r="B37" i="1"/>
  <c r="B13" i="1"/>
  <c r="B50" i="1"/>
</calcChain>
</file>

<file path=xl/sharedStrings.xml><?xml version="1.0" encoding="utf-8"?>
<sst xmlns="http://schemas.openxmlformats.org/spreadsheetml/2006/main" count="28" uniqueCount="16">
  <si>
    <t>Resp</t>
  </si>
  <si>
    <t>Cost Driver</t>
  </si>
  <si>
    <t>Total</t>
  </si>
  <si>
    <t>Basis</t>
  </si>
  <si>
    <t>Custo</t>
  </si>
  <si>
    <t>Target</t>
  </si>
  <si>
    <t>Rang_Client</t>
  </si>
  <si>
    <t>Mission</t>
  </si>
  <si>
    <t>Appareil</t>
  </si>
  <si>
    <t xml:space="preserve"> </t>
  </si>
  <si>
    <t>Dolphin4POF</t>
  </si>
  <si>
    <t xml:space="preserve">COH012
(CoC)
</t>
  </si>
  <si>
    <t xml:space="preserve">COH013
(CoC)
</t>
  </si>
  <si>
    <t xml:space="preserve">COH014
(CoC)
</t>
  </si>
  <si>
    <t xml:space="preserve">COH015
Status AC: Flight Line Entry
</t>
  </si>
  <si>
    <t xml:space="preserve">SOG001
Status AC: Start Of FAL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</si>
</sst>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2" borderId="1" xfId="0" applyFont="1" applyFill="1" applyBorder="1" applyAlignment="1">
      <alignment horizontal="center"/>
    </xf>
    <xf numFmtId="3" fontId="1" fillId="0" borderId="1" xfId="0" applyNumberFormat="1" applyFont="1" applyBorder="1" applyAlignment="1"/>
    <xf numFmtId="3" fontId="2" fillId="3" borderId="1" xfId="0" applyNumberFormat="1" applyFont="1" applyFill="1" applyBorder="1" applyAlignment="1"/>
    <xf numFmtId="3" fontId="1" fillId="4" borderId="1" xfId="0" applyNumberFormat="1" applyFont="1" applyFill="1" applyBorder="1" applyAlignment="1"/>
    <xf numFmtId="0" fontId="1" fillId="0" borderId="0" xfId="0" applyFont="1" applyFill="1" applyBorder="1"/>
    <xf numFmtId="0" fontId="2" fillId="0" borderId="0" xfId="0" applyFont="1" applyFill="1" applyBorder="1"/>
    <xf numFmtId="0" fontId="2" fillId="0" borderId="2" xfId="0" applyFont="1" applyFill="1" applyBorder="1" applyAlignment="1">
      <alignment horizontal="center"/>
    </xf>
    <xf numFmtId="3" fontId="2" fillId="0" borderId="2" xfId="0" applyNumberFormat="1" applyFont="1" applyFill="1" applyBorder="1" applyAlignment="1"/>
    <xf numFmtId="3" fontId="1" fillId="0" borderId="2" xfId="0" applyNumberFormat="1" applyFont="1" applyFill="1" applyBorder="1" applyAlignment="1"/>
    <xf numFmtId="0" fontId="0" fillId="0" borderId="0" xfId="0" applyAlignment="1">
      <alignment wrapText="1"/>
    </xf>
    <xf numFmtId="0" fontId="0" fillId="7" borderId="5" xfId="0" applyFill="1" applyBorder="1"/>
    <xf numFmtId="0" fontId="0" fillId="7" borderId="7" xfId="0" applyFill="1" applyBorder="1"/>
    <xf numFmtId="0" fontId="0" fillId="7" borderId="9" xfId="0" applyFill="1" applyBorder="1"/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8" borderId="4" xfId="0" applyFill="1" applyBorder="1"/>
    <xf numFmtId="0" fontId="0" fillId="8" borderId="6" xfId="0" applyFill="1" applyBorder="1"/>
    <xf numFmtId="0" fontId="0" fillId="8" borderId="8" xfId="0" applyFill="1" applyBorder="1"/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9" xfId="0" applyBorder="1" applyAlignment="1">
      <alignment wrapText="1"/>
    </xf>
    <xf numFmtId="0" fontId="0" fillId="6" borderId="10" xfId="0" applyFill="1" applyBorder="1" applyAlignment="1">
      <alignment wrapText="1"/>
    </xf>
    <xf numFmtId="0" fontId="0" fillId="6" borderId="2" xfId="0" applyFill="1" applyBorder="1" applyAlignment="1">
      <alignment wrapText="1"/>
    </xf>
    <xf numFmtId="0" fontId="0" fillId="6" borderId="11" xfId="0" applyFill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b/>
        <i val="0"/>
      </font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447675</xdr:colOff>
      <xdr:row>1</xdr:row>
      <xdr:rowOff>0</xdr:rowOff>
    </xdr:from>
    <xdr:to>
      <xdr:col>3</xdr:col>
      <xdr:colOff>302133</xdr:colOff>
      <xdr:row>2</xdr:row>
      <xdr:rowOff>57150</xdr:rowOff>
    </xdr:to>
    <xdr:sp macro="[0]!Récapitulatif" textlink="">
      <xdr:nvSpPr>
        <xdr:cNvPr id="2" name="Pentagone 1"/>
        <xdr:cNvSpPr/>
      </xdr:nvSpPr>
      <xdr:spPr>
        <a:xfrm>
          <a:off x="2333625" y="190500"/>
          <a:ext cx="978408" cy="247650"/>
        </a:xfrm>
        <a:prstGeom prst="homePlat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Copier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0</xdr:row>
      <xdr:rowOff>142875</xdr:rowOff>
    </xdr:from>
    <xdr:to>
      <xdr:col>2</xdr:col>
      <xdr:colOff>952500</xdr:colOff>
      <xdr:row>2</xdr:row>
      <xdr:rowOff>76200</xdr:rowOff>
    </xdr:to>
    <xdr:sp macro="[0]!suppr" textlink="">
      <xdr:nvSpPr>
        <xdr:cNvPr id="4" name="Rectangle avec flèche vers le bas 3"/>
        <xdr:cNvSpPr/>
      </xdr:nvSpPr>
      <xdr:spPr>
        <a:xfrm>
          <a:off x="1895475" y="142875"/>
          <a:ext cx="914400" cy="314325"/>
        </a:xfrm>
        <a:prstGeom prst="downArrowCallou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Supprimer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indexed="51"/>
  </sheetPr>
  <dimension ref="A1:Q159"/>
  <sheetViews>
    <sheetView showGridLines="0" showZeros="0" zoomScale="75" zoomScaleNormal="7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114" sqref="C114"/>
    </sheetView>
  </sheetViews>
  <sheetFormatPr baseColWidth="10" defaultRowHeight="11.25" outlineLevelRow="1" outlineLevelCol="3" x14ac:dyDescent="0.2"/>
  <cols>
    <col min="1" max="1" width="11.42578125" style="1"/>
    <col min="2" max="2" width="17.85546875" style="1" bestFit="1" customWidth="1"/>
    <col min="3" max="4" width="11.42578125" style="1" customWidth="1" outlineLevel="3"/>
    <col min="5" max="5" width="11.42578125" style="1"/>
    <col min="6" max="6" width="14.7109375" style="1" customWidth="1"/>
    <col min="7" max="7" width="2.7109375" style="8" customWidth="1"/>
    <col min="8" max="9" width="11.42578125" style="1" customWidth="1" outlineLevel="1"/>
    <col min="10" max="10" width="11.42578125" style="1"/>
    <col min="11" max="11" width="14.7109375" style="1" customWidth="1"/>
    <col min="12" max="12" width="2.7109375" style="8" customWidth="1"/>
    <col min="13" max="14" width="11.42578125" style="1" customWidth="1" outlineLevel="1"/>
    <col min="15" max="15" width="11.42578125" style="1"/>
    <col min="16" max="16" width="14.7109375" style="1" customWidth="1"/>
    <col min="17" max="17" width="2.7109375" style="8" customWidth="1"/>
    <col min="18" max="16384" width="11.42578125" style="1"/>
  </cols>
  <sheetData>
    <row r="1" spans="1:17" x14ac:dyDescent="0.2">
      <c r="A1" s="2"/>
    </row>
    <row r="2" spans="1:17" ht="18.75" x14ac:dyDescent="0.3">
      <c r="A2" s="2"/>
      <c r="I2" s="3"/>
    </row>
    <row r="8" spans="1:17" s="2" customFormat="1" ht="62.1" customHeight="1" x14ac:dyDescent="0.2">
      <c r="C8" s="34" t="s">
        <v>11</v>
      </c>
      <c r="D8" s="34"/>
      <c r="E8" s="34"/>
      <c r="F8" s="34"/>
      <c r="G8" s="9"/>
      <c r="H8" s="34" t="s">
        <v>12</v>
      </c>
      <c r="I8" s="34"/>
      <c r="J8" s="34"/>
      <c r="K8" s="34"/>
      <c r="L8" s="9"/>
      <c r="M8" s="34" t="s">
        <v>13</v>
      </c>
      <c r="N8" s="34"/>
      <c r="O8" s="34"/>
      <c r="P8" s="34"/>
      <c r="Q8" s="9"/>
    </row>
    <row r="9" spans="1:17" x14ac:dyDescent="0.2">
      <c r="A9" s="4"/>
      <c r="B9" s="4"/>
      <c r="C9" s="4"/>
      <c r="D9" s="4"/>
      <c r="E9" s="4" t="s">
        <v>2</v>
      </c>
      <c r="F9" s="4"/>
      <c r="G9" s="10"/>
      <c r="H9" s="4"/>
      <c r="I9" s="4"/>
      <c r="J9" s="4" t="s">
        <v>2</v>
      </c>
      <c r="K9" s="4"/>
      <c r="L9" s="10"/>
      <c r="M9" s="4"/>
      <c r="N9" s="4"/>
      <c r="O9" s="4" t="s">
        <v>2</v>
      </c>
      <c r="P9" s="4"/>
      <c r="Q9" s="10"/>
    </row>
    <row r="10" spans="1:17" x14ac:dyDescent="0.2">
      <c r="A10" s="6" t="s">
        <v>2</v>
      </c>
      <c r="B10" s="6"/>
      <c r="C10" s="6">
        <f>SUMIF($B11:$B60,"",$C11:$C60)</f>
        <v>7237158.360000005</v>
      </c>
      <c r="D10" s="6">
        <f>SUMIF($B11:$B60,"",$D11:$D60)</f>
        <v>3745851.8200000031</v>
      </c>
      <c r="E10" s="6">
        <f>SUMIF($B11:$B60,"",$E11:$E60)</f>
        <v>10983010.180000011</v>
      </c>
      <c r="F10" s="6">
        <f>SUMIF($B11:$B60,"",$F11:$F60)</f>
        <v>0</v>
      </c>
      <c r="G10" s="11">
        <f>SUMIF($B11:$B60,"",$G11:$G60)</f>
        <v>0</v>
      </c>
      <c r="H10" s="6">
        <f>SUMIF($B11:$B60,"",$H11:$H60)</f>
        <v>7427786.5400000056</v>
      </c>
      <c r="I10" s="6">
        <f>SUMIF($B11:$B60,"",$I11:$I60)</f>
        <v>3734899.1999999988</v>
      </c>
      <c r="J10" s="6">
        <f>SUMIF($B11:$B60,"",$J11:$J60)</f>
        <v>11162685.740000006</v>
      </c>
      <c r="K10" s="6">
        <f>SUMIF($B11:$B60,"",$K11:$K60)</f>
        <v>0</v>
      </c>
      <c r="L10" s="11">
        <f>SUMIF($B11:$B60,"",$L11:$L60)</f>
        <v>0</v>
      </c>
      <c r="M10" s="6">
        <f>SUMIF($B11:$B60,"",$M11:$M60)</f>
        <v>7674623.4600000065</v>
      </c>
      <c r="N10" s="6">
        <f>SUMIF($B11:$B60,"",$N11:$N60)</f>
        <v>3941118.0400000066</v>
      </c>
      <c r="O10" s="6">
        <f>SUMIF($B11:$B60,"",$O11:$O60)</f>
        <v>11615741.500000017</v>
      </c>
      <c r="P10" s="6">
        <f>SUMIF($B11:$B60,"",$P11:$P60)</f>
        <v>0</v>
      </c>
      <c r="Q10" s="11">
        <f>SUMIF($B11:$B60,"",$Q11:$Q60)</f>
        <v>0</v>
      </c>
    </row>
    <row r="11" spans="1:17" x14ac:dyDescent="0.2">
      <c r="A11" s="5"/>
      <c r="B11" s="5"/>
      <c r="C11" s="5">
        <v>1033955.000000004</v>
      </c>
      <c r="D11" s="5">
        <v>1267583.7900000035</v>
      </c>
      <c r="E11" s="7">
        <v>2301538.7900000075</v>
      </c>
      <c r="F11" s="5">
        <v>0</v>
      </c>
      <c r="G11" s="12"/>
      <c r="H11" s="5">
        <v>1102145.8700000045</v>
      </c>
      <c r="I11" s="5">
        <v>1257479.0600000003</v>
      </c>
      <c r="J11" s="7">
        <v>2359624.9300000048</v>
      </c>
      <c r="K11" s="5">
        <v>0</v>
      </c>
      <c r="L11" s="12"/>
      <c r="M11" s="5">
        <v>1070868.6400000032</v>
      </c>
      <c r="N11" s="5">
        <v>1355214.0300000063</v>
      </c>
      <c r="O11" s="7">
        <v>2426082.6700000092</v>
      </c>
      <c r="P11" s="5">
        <v>0</v>
      </c>
      <c r="Q11" s="12"/>
    </row>
    <row r="12" spans="1:17" outlineLevel="1" x14ac:dyDescent="0.2">
      <c r="A12" s="5"/>
      <c r="B12" s="5"/>
      <c r="C12" s="5">
        <v>395594.93999999965</v>
      </c>
      <c r="D12" s="5">
        <v>448706.67999999988</v>
      </c>
      <c r="E12" s="7">
        <v>844301.61999999953</v>
      </c>
      <c r="F12" s="5">
        <v>0</v>
      </c>
      <c r="G12" s="12"/>
      <c r="H12" s="5">
        <v>414994.06999999977</v>
      </c>
      <c r="I12" s="5">
        <v>443064.80999999965</v>
      </c>
      <c r="J12" s="7">
        <v>858058.87999999942</v>
      </c>
      <c r="K12" s="5">
        <v>0</v>
      </c>
      <c r="L12" s="12"/>
      <c r="M12" s="5">
        <v>434863.77</v>
      </c>
      <c r="N12" s="5">
        <v>496051.62999999983</v>
      </c>
      <c r="O12" s="7">
        <v>930915.39999999991</v>
      </c>
      <c r="P12" s="5">
        <v>0</v>
      </c>
      <c r="Q12" s="12"/>
    </row>
    <row r="13" spans="1:17" outlineLevel="1" x14ac:dyDescent="0.2">
      <c r="A13" s="5"/>
      <c r="B13" s="5"/>
      <c r="C13" s="5">
        <v>548717.58000000007</v>
      </c>
      <c r="D13" s="5">
        <v>655255.3899999999</v>
      </c>
      <c r="E13" s="7">
        <v>1203972.97</v>
      </c>
      <c r="F13" s="5">
        <v>0</v>
      </c>
      <c r="G13" s="12"/>
      <c r="H13" s="5">
        <v>592487.28999999957</v>
      </c>
      <c r="I13" s="5">
        <v>639230.71999999997</v>
      </c>
      <c r="J13" s="7">
        <v>1231718.0099999995</v>
      </c>
      <c r="K13" s="5">
        <v>0</v>
      </c>
      <c r="L13" s="12"/>
      <c r="M13" s="5">
        <v>546520.89000000025</v>
      </c>
      <c r="N13" s="5">
        <v>718826.71</v>
      </c>
      <c r="O13" s="7">
        <v>1265347.6000000001</v>
      </c>
      <c r="P13" s="5">
        <v>0</v>
      </c>
      <c r="Q13" s="12"/>
    </row>
    <row r="14" spans="1:17" outlineLevel="1" x14ac:dyDescent="0.2">
      <c r="A14" s="5"/>
      <c r="B14" s="5"/>
      <c r="C14" s="5">
        <v>54657.12999999999</v>
      </c>
      <c r="D14" s="5">
        <v>64880.480000000003</v>
      </c>
      <c r="E14" s="7">
        <v>119537.60999999999</v>
      </c>
      <c r="F14" s="5">
        <v>0</v>
      </c>
      <c r="G14" s="12"/>
      <c r="H14" s="5">
        <v>56325.179999999978</v>
      </c>
      <c r="I14" s="5">
        <v>62916.489999999991</v>
      </c>
      <c r="J14" s="7">
        <v>119241.66999999997</v>
      </c>
      <c r="K14" s="5">
        <v>0</v>
      </c>
      <c r="L14" s="12"/>
      <c r="M14" s="5">
        <v>51594.03</v>
      </c>
      <c r="N14" s="5">
        <v>61300.62000000001</v>
      </c>
      <c r="O14" s="7">
        <v>112894.65000000001</v>
      </c>
      <c r="P14" s="5">
        <v>0</v>
      </c>
      <c r="Q14" s="12"/>
    </row>
    <row r="15" spans="1:17" outlineLevel="1" x14ac:dyDescent="0.2">
      <c r="A15" s="5"/>
      <c r="B15" s="5"/>
      <c r="C15" s="5">
        <v>30386.21</v>
      </c>
      <c r="D15" s="5">
        <v>21013.82</v>
      </c>
      <c r="E15" s="7">
        <v>51400.03</v>
      </c>
      <c r="F15" s="5">
        <v>0</v>
      </c>
      <c r="G15" s="12"/>
      <c r="H15" s="5">
        <v>35538.369999999995</v>
      </c>
      <c r="I15" s="5">
        <v>21107.09</v>
      </c>
      <c r="J15" s="7">
        <v>56645.459999999992</v>
      </c>
      <c r="K15" s="5">
        <v>0</v>
      </c>
      <c r="L15" s="12"/>
      <c r="M15" s="5">
        <v>32321.95</v>
      </c>
      <c r="N15" s="5">
        <v>20378.55</v>
      </c>
      <c r="O15" s="7">
        <v>52700.5</v>
      </c>
      <c r="P15" s="5">
        <v>0</v>
      </c>
      <c r="Q15" s="12"/>
    </row>
    <row r="16" spans="1:17" outlineLevel="1" x14ac:dyDescent="0.2">
      <c r="A16" s="5"/>
      <c r="B16" s="5"/>
      <c r="C16" s="5">
        <v>4599.1400000012509</v>
      </c>
      <c r="D16" s="5">
        <v>77727.420000000013</v>
      </c>
      <c r="E16" s="7">
        <v>82326.560000001264</v>
      </c>
      <c r="F16" s="5">
        <v>0</v>
      </c>
      <c r="G16" s="12"/>
      <c r="H16" s="5">
        <v>2800.9599999996717</v>
      </c>
      <c r="I16" s="5">
        <v>91159.949999999546</v>
      </c>
      <c r="J16" s="7">
        <v>93960.909999999218</v>
      </c>
      <c r="K16" s="5">
        <v>0</v>
      </c>
      <c r="L16" s="12"/>
      <c r="M16" s="5">
        <v>5568.0000000002328</v>
      </c>
      <c r="N16" s="5">
        <v>58656.520000000368</v>
      </c>
      <c r="O16" s="7">
        <v>64224.520000000601</v>
      </c>
      <c r="P16" s="5">
        <v>0</v>
      </c>
      <c r="Q16" s="12"/>
    </row>
    <row r="17" spans="1:17" x14ac:dyDescent="0.2">
      <c r="A17" s="5"/>
      <c r="B17" s="5"/>
      <c r="C17" s="5">
        <v>1204531.0200000003</v>
      </c>
      <c r="D17" s="5">
        <v>253636.97000000023</v>
      </c>
      <c r="E17" s="7">
        <v>1458167.9900000005</v>
      </c>
      <c r="F17" s="5">
        <v>0</v>
      </c>
      <c r="G17" s="12"/>
      <c r="H17" s="5">
        <v>1184506.100000001</v>
      </c>
      <c r="I17" s="5">
        <v>213836.56</v>
      </c>
      <c r="J17" s="7">
        <v>1398342.6600000011</v>
      </c>
      <c r="K17" s="5">
        <v>0</v>
      </c>
      <c r="L17" s="12"/>
      <c r="M17" s="5">
        <v>1273578.2400000016</v>
      </c>
      <c r="N17" s="5">
        <v>302098.47999999992</v>
      </c>
      <c r="O17" s="7">
        <v>1575676.7200000016</v>
      </c>
      <c r="P17" s="5">
        <v>0</v>
      </c>
      <c r="Q17" s="12"/>
    </row>
    <row r="18" spans="1:17" outlineLevel="1" x14ac:dyDescent="0.2">
      <c r="A18" s="5"/>
      <c r="B18" s="5"/>
      <c r="C18" s="5">
        <v>333396</v>
      </c>
      <c r="D18" s="5">
        <v>102107.90999999999</v>
      </c>
      <c r="E18" s="7">
        <v>435503.91000000003</v>
      </c>
      <c r="F18" s="5">
        <v>0</v>
      </c>
      <c r="G18" s="12"/>
      <c r="H18" s="5">
        <v>315928.96999999997</v>
      </c>
      <c r="I18" s="5">
        <v>75945.279999999984</v>
      </c>
      <c r="J18" s="7">
        <v>391874.25</v>
      </c>
      <c r="K18" s="5">
        <v>0</v>
      </c>
      <c r="L18" s="12"/>
      <c r="M18" s="5">
        <v>366662.27</v>
      </c>
      <c r="N18" s="5">
        <v>131259.83000000005</v>
      </c>
      <c r="O18" s="7">
        <v>497922.1</v>
      </c>
      <c r="P18" s="5">
        <v>0</v>
      </c>
      <c r="Q18" s="12"/>
    </row>
    <row r="19" spans="1:17" outlineLevel="1" x14ac:dyDescent="0.2">
      <c r="A19" s="5"/>
      <c r="B19" s="5"/>
      <c r="C19" s="5">
        <v>765721.25999999978</v>
      </c>
      <c r="D19" s="5">
        <v>123291.24999999999</v>
      </c>
      <c r="E19" s="7">
        <v>889012.51</v>
      </c>
      <c r="F19" s="5">
        <v>0</v>
      </c>
      <c r="G19" s="12"/>
      <c r="H19" s="5">
        <v>768282.12</v>
      </c>
      <c r="I19" s="5">
        <v>120166.17000000001</v>
      </c>
      <c r="J19" s="7">
        <v>888448.28999999992</v>
      </c>
      <c r="K19" s="5">
        <v>0</v>
      </c>
      <c r="L19" s="12"/>
      <c r="M19" s="5">
        <v>803958.57000000007</v>
      </c>
      <c r="N19" s="5">
        <v>134922.5</v>
      </c>
      <c r="O19" s="7">
        <v>938881.07000000007</v>
      </c>
      <c r="P19" s="5">
        <v>0</v>
      </c>
      <c r="Q19" s="12"/>
    </row>
    <row r="20" spans="1:17" outlineLevel="1" x14ac:dyDescent="0.2">
      <c r="A20" s="5"/>
      <c r="B20" s="5"/>
      <c r="C20" s="5">
        <v>56675.68</v>
      </c>
      <c r="D20" s="5">
        <v>13774.609999999999</v>
      </c>
      <c r="E20" s="7">
        <v>70450.290000000008</v>
      </c>
      <c r="F20" s="5">
        <v>0</v>
      </c>
      <c r="G20" s="12"/>
      <c r="H20" s="5">
        <v>54810.570000000007</v>
      </c>
      <c r="I20" s="5">
        <v>10932.619999999999</v>
      </c>
      <c r="J20" s="7">
        <v>65743.190000000017</v>
      </c>
      <c r="K20" s="5">
        <v>0</v>
      </c>
      <c r="L20" s="12"/>
      <c r="M20" s="5">
        <v>55165.310000000005</v>
      </c>
      <c r="N20" s="5">
        <v>14024.319999999998</v>
      </c>
      <c r="O20" s="7">
        <v>69189.63</v>
      </c>
      <c r="P20" s="5">
        <v>0</v>
      </c>
      <c r="Q20" s="12"/>
    </row>
    <row r="21" spans="1:17" outlineLevel="1" x14ac:dyDescent="0.2">
      <c r="A21" s="5"/>
      <c r="B21" s="5"/>
      <c r="C21" s="5">
        <v>40773.73000000001</v>
      </c>
      <c r="D21" s="5">
        <v>7831.39</v>
      </c>
      <c r="E21" s="7">
        <v>48605.12000000001</v>
      </c>
      <c r="F21" s="5">
        <v>0</v>
      </c>
      <c r="G21" s="12"/>
      <c r="H21" s="5">
        <v>35450.939999999988</v>
      </c>
      <c r="I21" s="5">
        <v>5320.63</v>
      </c>
      <c r="J21" s="7">
        <v>40771.569999999992</v>
      </c>
      <c r="K21" s="5">
        <v>0</v>
      </c>
      <c r="L21" s="12"/>
      <c r="M21" s="5">
        <v>38701.1</v>
      </c>
      <c r="N21" s="5">
        <v>14913.49</v>
      </c>
      <c r="O21" s="7">
        <v>53614.590000000004</v>
      </c>
      <c r="P21" s="5">
        <v>0</v>
      </c>
      <c r="Q21" s="12"/>
    </row>
    <row r="22" spans="1:17" outlineLevel="1" x14ac:dyDescent="0.2">
      <c r="A22" s="5"/>
      <c r="B22" s="5"/>
      <c r="C22" s="5">
        <v>7964.3499999997493</v>
      </c>
      <c r="D22" s="5">
        <v>6631.8100000000777</v>
      </c>
      <c r="E22" s="7">
        <v>14596.159999999827</v>
      </c>
      <c r="F22" s="5">
        <v>0</v>
      </c>
      <c r="G22" s="12"/>
      <c r="H22" s="5">
        <v>10033.500000000022</v>
      </c>
      <c r="I22" s="5">
        <v>1471.8600000000154</v>
      </c>
      <c r="J22" s="7">
        <v>11505.360000000039</v>
      </c>
      <c r="K22" s="5">
        <v>0</v>
      </c>
      <c r="L22" s="12"/>
      <c r="M22" s="5">
        <v>9090.9899999998797</v>
      </c>
      <c r="N22" s="5">
        <v>6978.339999999992</v>
      </c>
      <c r="O22" s="7">
        <v>16069.329999999873</v>
      </c>
      <c r="P22" s="5">
        <v>0</v>
      </c>
      <c r="Q22" s="12"/>
    </row>
    <row r="23" spans="1:17" x14ac:dyDescent="0.2">
      <c r="A23" s="5"/>
      <c r="B23" s="5"/>
      <c r="C23" s="5">
        <v>501066.70000000024</v>
      </c>
      <c r="D23" s="5">
        <v>16696.14</v>
      </c>
      <c r="E23" s="7">
        <v>517762.84000000026</v>
      </c>
      <c r="F23" s="5">
        <v>0</v>
      </c>
      <c r="G23" s="12"/>
      <c r="H23" s="5">
        <v>516125.05999999988</v>
      </c>
      <c r="I23" s="5">
        <v>25692.639999999989</v>
      </c>
      <c r="J23" s="7">
        <v>541817.69999999984</v>
      </c>
      <c r="K23" s="5">
        <v>0</v>
      </c>
      <c r="L23" s="12"/>
      <c r="M23" s="5">
        <v>578899.97000000137</v>
      </c>
      <c r="N23" s="5">
        <v>20053.18</v>
      </c>
      <c r="O23" s="7">
        <v>598953.15000000142</v>
      </c>
      <c r="P23" s="5">
        <v>0</v>
      </c>
      <c r="Q23" s="12"/>
    </row>
    <row r="24" spans="1:17" outlineLevel="1" x14ac:dyDescent="0.2">
      <c r="A24" s="5"/>
      <c r="B24" s="5"/>
      <c r="C24" s="5">
        <v>21229.479999999992</v>
      </c>
      <c r="D24" s="5">
        <v>2429.35</v>
      </c>
      <c r="E24" s="7">
        <v>23658.829999999994</v>
      </c>
      <c r="F24" s="5">
        <v>0</v>
      </c>
      <c r="G24" s="12"/>
      <c r="H24" s="5">
        <v>16784.14</v>
      </c>
      <c r="I24" s="5">
        <v>5315.9400000000005</v>
      </c>
      <c r="J24" s="7">
        <v>22100.080000000002</v>
      </c>
      <c r="K24" s="5">
        <v>0</v>
      </c>
      <c r="L24" s="12"/>
      <c r="M24" s="5">
        <v>31422.090000000004</v>
      </c>
      <c r="N24" s="5">
        <v>4013.65</v>
      </c>
      <c r="O24" s="7">
        <v>35435.740000000005</v>
      </c>
      <c r="P24" s="5">
        <v>0</v>
      </c>
      <c r="Q24" s="12"/>
    </row>
    <row r="25" spans="1:17" outlineLevel="1" x14ac:dyDescent="0.2">
      <c r="A25" s="5"/>
      <c r="B25" s="5"/>
      <c r="C25" s="5">
        <v>455867.64000000007</v>
      </c>
      <c r="D25" s="5">
        <v>12140.2</v>
      </c>
      <c r="E25" s="7">
        <v>468007.84000000008</v>
      </c>
      <c r="F25" s="5">
        <v>0</v>
      </c>
      <c r="G25" s="12"/>
      <c r="H25" s="5">
        <v>474840.74</v>
      </c>
      <c r="I25" s="5">
        <v>18616.47</v>
      </c>
      <c r="J25" s="7">
        <v>493457.21</v>
      </c>
      <c r="K25" s="5">
        <v>0</v>
      </c>
      <c r="L25" s="12"/>
      <c r="M25" s="5">
        <v>520028.55</v>
      </c>
      <c r="N25" s="5">
        <v>13399.56</v>
      </c>
      <c r="O25" s="7">
        <v>533428.11</v>
      </c>
      <c r="P25" s="5">
        <v>0</v>
      </c>
      <c r="Q25" s="12"/>
    </row>
    <row r="26" spans="1:17" outlineLevel="1" x14ac:dyDescent="0.2">
      <c r="A26" s="5"/>
      <c r="B26" s="5"/>
      <c r="C26" s="5">
        <v>19793.920000000006</v>
      </c>
      <c r="D26" s="5">
        <v>1321.8799999999999</v>
      </c>
      <c r="E26" s="7">
        <v>21115.800000000003</v>
      </c>
      <c r="F26" s="5">
        <v>0</v>
      </c>
      <c r="G26" s="12"/>
      <c r="H26" s="5">
        <v>21168.589999999997</v>
      </c>
      <c r="I26" s="5">
        <v>1028.3999999999999</v>
      </c>
      <c r="J26" s="7">
        <v>22196.989999999998</v>
      </c>
      <c r="K26" s="5">
        <v>0</v>
      </c>
      <c r="L26" s="12"/>
      <c r="M26" s="5">
        <v>18549.509999999998</v>
      </c>
      <c r="N26" s="5">
        <v>1461.67</v>
      </c>
      <c r="O26" s="7">
        <v>20011.179999999997</v>
      </c>
      <c r="P26" s="5">
        <v>0</v>
      </c>
      <c r="Q26" s="12"/>
    </row>
    <row r="27" spans="1:17" outlineLevel="1" x14ac:dyDescent="0.2">
      <c r="A27" s="5"/>
      <c r="B27" s="5"/>
      <c r="C27" s="5">
        <v>4150.24</v>
      </c>
      <c r="D27" s="5">
        <v>804.71</v>
      </c>
      <c r="E27" s="7">
        <v>4954.95</v>
      </c>
      <c r="F27" s="5">
        <v>0</v>
      </c>
      <c r="G27" s="12"/>
      <c r="H27" s="5">
        <v>3307.41</v>
      </c>
      <c r="I27" s="5">
        <v>798.36</v>
      </c>
      <c r="J27" s="7">
        <v>4105.7699999999995</v>
      </c>
      <c r="K27" s="5">
        <v>0</v>
      </c>
      <c r="L27" s="12"/>
      <c r="M27" s="5">
        <v>4632.78</v>
      </c>
      <c r="N27" s="5">
        <v>764.58</v>
      </c>
      <c r="O27" s="7">
        <v>5397.36</v>
      </c>
      <c r="P27" s="5">
        <v>0</v>
      </c>
      <c r="Q27" s="12"/>
    </row>
    <row r="28" spans="1:17" outlineLevel="1" x14ac:dyDescent="0.2">
      <c r="A28" s="5"/>
      <c r="B28" s="5"/>
      <c r="C28" s="5">
        <v>25.419999999983702</v>
      </c>
      <c r="D28" s="5">
        <v>0</v>
      </c>
      <c r="E28" s="7">
        <v>25.419999999983702</v>
      </c>
      <c r="F28" s="5">
        <v>0</v>
      </c>
      <c r="G28" s="12"/>
      <c r="H28" s="5">
        <v>24.180000000051223</v>
      </c>
      <c r="I28" s="5">
        <v>-66.530000000002474</v>
      </c>
      <c r="J28" s="7">
        <v>-42.349999999951251</v>
      </c>
      <c r="K28" s="5">
        <v>0</v>
      </c>
      <c r="L28" s="12"/>
      <c r="M28" s="5">
        <v>4267.0399999999063</v>
      </c>
      <c r="N28" s="5">
        <v>413.71999999999821</v>
      </c>
      <c r="O28" s="7">
        <v>4680.7599999999047</v>
      </c>
      <c r="P28" s="5">
        <v>0</v>
      </c>
      <c r="Q28" s="12"/>
    </row>
    <row r="29" spans="1:17" x14ac:dyDescent="0.2">
      <c r="A29" s="5"/>
      <c r="B29" s="5"/>
      <c r="C29" s="5">
        <v>148839.24000000002</v>
      </c>
      <c r="D29" s="5">
        <v>165913.55000000022</v>
      </c>
      <c r="E29" s="7">
        <v>314752.79000000027</v>
      </c>
      <c r="F29" s="5">
        <v>0</v>
      </c>
      <c r="G29" s="12"/>
      <c r="H29" s="5">
        <v>142373.18999999994</v>
      </c>
      <c r="I29" s="5">
        <v>180863.47999999998</v>
      </c>
      <c r="J29" s="7">
        <v>323236.66999999993</v>
      </c>
      <c r="K29" s="5">
        <v>0</v>
      </c>
      <c r="L29" s="12"/>
      <c r="M29" s="5">
        <v>135610.6699999999</v>
      </c>
      <c r="N29" s="5">
        <v>134468.06000000023</v>
      </c>
      <c r="O29" s="7">
        <v>270078.7300000001</v>
      </c>
      <c r="P29" s="5">
        <v>0</v>
      </c>
      <c r="Q29" s="12"/>
    </row>
    <row r="30" spans="1:17" outlineLevel="1" x14ac:dyDescent="0.2">
      <c r="A30" s="5"/>
      <c r="B30" s="5"/>
      <c r="C30" s="5">
        <v>5124.8999999999996</v>
      </c>
      <c r="D30" s="5">
        <v>86080.320000000022</v>
      </c>
      <c r="E30" s="7">
        <v>91205.220000000016</v>
      </c>
      <c r="F30" s="5">
        <v>0</v>
      </c>
      <c r="G30" s="12"/>
      <c r="H30" s="5">
        <v>4720.6900000000005</v>
      </c>
      <c r="I30" s="5">
        <v>106155.41999999998</v>
      </c>
      <c r="J30" s="7">
        <v>110876.10999999999</v>
      </c>
      <c r="K30" s="5">
        <v>0</v>
      </c>
      <c r="L30" s="12"/>
      <c r="M30" s="5">
        <v>7106.8000000000011</v>
      </c>
      <c r="N30" s="5">
        <v>61636.610000000008</v>
      </c>
      <c r="O30" s="7">
        <v>68743.41</v>
      </c>
      <c r="P30" s="5">
        <v>0</v>
      </c>
      <c r="Q30" s="12"/>
    </row>
    <row r="31" spans="1:17" outlineLevel="1" x14ac:dyDescent="0.2">
      <c r="A31" s="5"/>
      <c r="B31" s="5"/>
      <c r="C31" s="5">
        <v>134469.99000000002</v>
      </c>
      <c r="D31" s="5">
        <v>62927.16</v>
      </c>
      <c r="E31" s="7">
        <v>197397.15000000002</v>
      </c>
      <c r="F31" s="5">
        <v>0</v>
      </c>
      <c r="G31" s="12"/>
      <c r="H31" s="5">
        <v>126674.06000000001</v>
      </c>
      <c r="I31" s="5">
        <v>57341.630000000005</v>
      </c>
      <c r="J31" s="7">
        <v>184015.69</v>
      </c>
      <c r="K31" s="5">
        <v>0</v>
      </c>
      <c r="L31" s="12"/>
      <c r="M31" s="5">
        <v>116365.32000000002</v>
      </c>
      <c r="N31" s="5">
        <v>58086.569999999992</v>
      </c>
      <c r="O31" s="7">
        <v>174451.89</v>
      </c>
      <c r="P31" s="5">
        <v>0</v>
      </c>
      <c r="Q31" s="12"/>
    </row>
    <row r="32" spans="1:17" outlineLevel="1" x14ac:dyDescent="0.2">
      <c r="A32" s="5"/>
      <c r="B32" s="5"/>
      <c r="C32" s="5">
        <v>10514.68</v>
      </c>
      <c r="D32" s="5">
        <v>6648.6500000000015</v>
      </c>
      <c r="E32" s="7">
        <v>17163.330000000002</v>
      </c>
      <c r="F32" s="5">
        <v>0</v>
      </c>
      <c r="G32" s="12"/>
      <c r="H32" s="5">
        <v>10110.98</v>
      </c>
      <c r="I32" s="5">
        <v>5260.6600000000008</v>
      </c>
      <c r="J32" s="7">
        <v>15371.64</v>
      </c>
      <c r="K32" s="5">
        <v>0</v>
      </c>
      <c r="L32" s="12"/>
      <c r="M32" s="5">
        <v>9553.93</v>
      </c>
      <c r="N32" s="5">
        <v>4809.38</v>
      </c>
      <c r="O32" s="7">
        <v>14363.310000000001</v>
      </c>
      <c r="P32" s="5">
        <v>0</v>
      </c>
      <c r="Q32" s="12"/>
    </row>
    <row r="33" spans="1:17" outlineLevel="1" x14ac:dyDescent="0.2">
      <c r="A33" s="5"/>
      <c r="B33" s="5"/>
      <c r="C33" s="5">
        <v>1023.05</v>
      </c>
      <c r="D33" s="5">
        <v>7736.4</v>
      </c>
      <c r="E33" s="7">
        <v>8759.4499999999989</v>
      </c>
      <c r="F33" s="5">
        <v>0</v>
      </c>
      <c r="G33" s="12"/>
      <c r="H33" s="5">
        <v>788.4</v>
      </c>
      <c r="I33" s="5">
        <v>10025.800000000001</v>
      </c>
      <c r="J33" s="7">
        <v>10814.2</v>
      </c>
      <c r="K33" s="5">
        <v>0</v>
      </c>
      <c r="L33" s="12"/>
      <c r="M33" s="5">
        <v>1104.29</v>
      </c>
      <c r="N33" s="5">
        <v>6001.2200000000012</v>
      </c>
      <c r="O33" s="7">
        <v>7105.5100000000011</v>
      </c>
      <c r="P33" s="5">
        <v>0</v>
      </c>
      <c r="Q33" s="12"/>
    </row>
    <row r="34" spans="1:17" outlineLevel="1" x14ac:dyDescent="0.2">
      <c r="A34" s="5"/>
      <c r="B34" s="5"/>
      <c r="C34" s="5">
        <v>-2293.3800000000174</v>
      </c>
      <c r="D34" s="5">
        <v>2521.0199999999895</v>
      </c>
      <c r="E34" s="7">
        <v>227.63999999997213</v>
      </c>
      <c r="F34" s="5">
        <v>0</v>
      </c>
      <c r="G34" s="12"/>
      <c r="H34" s="5">
        <v>79.059999999968568</v>
      </c>
      <c r="I34" s="5">
        <v>2079.9699999999302</v>
      </c>
      <c r="J34" s="7">
        <v>2159.0299999998988</v>
      </c>
      <c r="K34" s="5">
        <v>0</v>
      </c>
      <c r="L34" s="12"/>
      <c r="M34" s="5">
        <v>1480.3299999999608</v>
      </c>
      <c r="N34" s="5">
        <v>3934.2800000000134</v>
      </c>
      <c r="O34" s="7">
        <v>5414.6099999999742</v>
      </c>
      <c r="P34" s="5">
        <v>0</v>
      </c>
      <c r="Q34" s="12"/>
    </row>
    <row r="35" spans="1:17" x14ac:dyDescent="0.2">
      <c r="A35" s="5"/>
      <c r="B35" s="5"/>
      <c r="C35" s="5">
        <v>112902.43</v>
      </c>
      <c r="D35" s="5">
        <v>0</v>
      </c>
      <c r="E35" s="7">
        <v>112902.43</v>
      </c>
      <c r="F35" s="5">
        <v>0</v>
      </c>
      <c r="G35" s="12"/>
      <c r="H35" s="5">
        <v>112902.42</v>
      </c>
      <c r="I35" s="5">
        <v>0</v>
      </c>
      <c r="J35" s="7">
        <v>112902.42</v>
      </c>
      <c r="K35" s="5">
        <v>0</v>
      </c>
      <c r="L35" s="12"/>
      <c r="M35" s="5">
        <v>119285.87999999998</v>
      </c>
      <c r="N35" s="5">
        <v>0</v>
      </c>
      <c r="O35" s="7">
        <v>119285.87999999998</v>
      </c>
      <c r="P35" s="5">
        <v>0</v>
      </c>
      <c r="Q35" s="12"/>
    </row>
    <row r="36" spans="1:17" outlineLevel="1" x14ac:dyDescent="0.2">
      <c r="A36" s="5"/>
      <c r="B36" s="5"/>
      <c r="C36" s="5">
        <v>318.09000000000003</v>
      </c>
      <c r="D36" s="5">
        <v>0</v>
      </c>
      <c r="E36" s="7">
        <v>318.09000000000003</v>
      </c>
      <c r="F36" s="5">
        <v>0</v>
      </c>
      <c r="G36" s="12"/>
      <c r="H36" s="5">
        <v>318.09000000000003</v>
      </c>
      <c r="I36" s="5">
        <v>0</v>
      </c>
      <c r="J36" s="7">
        <v>318.09000000000003</v>
      </c>
      <c r="K36" s="5">
        <v>0</v>
      </c>
      <c r="L36" s="12"/>
      <c r="M36" s="5">
        <v>287.85000000000002</v>
      </c>
      <c r="N36" s="5">
        <v>0</v>
      </c>
      <c r="O36" s="7">
        <v>287.85000000000002</v>
      </c>
      <c r="P36" s="5">
        <v>0</v>
      </c>
      <c r="Q36" s="12"/>
    </row>
    <row r="37" spans="1:17" outlineLevel="1" x14ac:dyDescent="0.2">
      <c r="A37" s="5"/>
      <c r="B37" s="5"/>
      <c r="C37" s="5">
        <v>112584.34</v>
      </c>
      <c r="D37" s="5">
        <v>0</v>
      </c>
      <c r="E37" s="7">
        <v>112584.34</v>
      </c>
      <c r="F37" s="5">
        <v>0</v>
      </c>
      <c r="G37" s="12"/>
      <c r="H37" s="5">
        <v>112584.33</v>
      </c>
      <c r="I37" s="5">
        <v>0</v>
      </c>
      <c r="J37" s="7">
        <v>112584.33</v>
      </c>
      <c r="K37" s="5">
        <v>0</v>
      </c>
      <c r="L37" s="12"/>
      <c r="M37" s="5">
        <v>118998.03</v>
      </c>
      <c r="N37" s="5">
        <v>0</v>
      </c>
      <c r="O37" s="7">
        <v>118998.03</v>
      </c>
      <c r="P37" s="5">
        <v>0</v>
      </c>
      <c r="Q37" s="12"/>
    </row>
    <row r="38" spans="1:17" outlineLevel="1" x14ac:dyDescent="0.2">
      <c r="A38" s="5"/>
      <c r="B38" s="5"/>
      <c r="C38" s="5">
        <v>0</v>
      </c>
      <c r="D38" s="5">
        <v>0</v>
      </c>
      <c r="E38" s="7">
        <v>0</v>
      </c>
      <c r="F38" s="5">
        <v>0</v>
      </c>
      <c r="G38" s="12"/>
      <c r="H38" s="5">
        <v>0</v>
      </c>
      <c r="I38" s="5">
        <v>0</v>
      </c>
      <c r="J38" s="7">
        <v>0</v>
      </c>
      <c r="K38" s="5">
        <v>0</v>
      </c>
      <c r="L38" s="12"/>
      <c r="M38" s="5">
        <v>0</v>
      </c>
      <c r="N38" s="5">
        <v>0</v>
      </c>
      <c r="O38" s="7">
        <v>0</v>
      </c>
      <c r="P38" s="5">
        <v>0</v>
      </c>
      <c r="Q38" s="12"/>
    </row>
    <row r="39" spans="1:17" x14ac:dyDescent="0.2">
      <c r="A39" s="5"/>
      <c r="B39" s="5"/>
      <c r="C39" s="5">
        <v>0</v>
      </c>
      <c r="D39" s="5">
        <v>62034.79000000003</v>
      </c>
      <c r="E39" s="7">
        <v>62034.79000000003</v>
      </c>
      <c r="F39" s="5">
        <v>0</v>
      </c>
      <c r="G39" s="12"/>
      <c r="H39" s="5">
        <v>0</v>
      </c>
      <c r="I39" s="5">
        <v>69006.38</v>
      </c>
      <c r="J39" s="7">
        <v>69006.38</v>
      </c>
      <c r="K39" s="5">
        <v>0</v>
      </c>
      <c r="L39" s="12"/>
      <c r="M39" s="5">
        <v>0</v>
      </c>
      <c r="N39" s="5">
        <v>47815.619999999988</v>
      </c>
      <c r="O39" s="7">
        <v>47815.619999999988</v>
      </c>
      <c r="P39" s="5">
        <v>0</v>
      </c>
      <c r="Q39" s="12"/>
    </row>
    <row r="40" spans="1:17" outlineLevel="1" x14ac:dyDescent="0.2">
      <c r="A40" s="5"/>
      <c r="B40" s="5"/>
      <c r="C40" s="5">
        <v>0</v>
      </c>
      <c r="D40" s="5">
        <v>55712.04</v>
      </c>
      <c r="E40" s="7">
        <v>55712.04</v>
      </c>
      <c r="F40" s="5">
        <v>0</v>
      </c>
      <c r="G40" s="12"/>
      <c r="H40" s="5">
        <v>0</v>
      </c>
      <c r="I40" s="5">
        <v>54037.229999999989</v>
      </c>
      <c r="J40" s="7">
        <v>54037.229999999989</v>
      </c>
      <c r="K40" s="5">
        <v>0</v>
      </c>
      <c r="L40" s="12"/>
      <c r="M40" s="5">
        <v>0</v>
      </c>
      <c r="N40" s="5">
        <v>27482.21</v>
      </c>
      <c r="O40" s="7">
        <v>27482.21</v>
      </c>
      <c r="P40" s="5">
        <v>0</v>
      </c>
      <c r="Q40" s="12"/>
    </row>
    <row r="41" spans="1:17" outlineLevel="1" x14ac:dyDescent="0.2">
      <c r="A41" s="5"/>
      <c r="B41" s="5"/>
      <c r="C41" s="5">
        <v>0</v>
      </c>
      <c r="D41" s="5">
        <v>2239.81</v>
      </c>
      <c r="E41" s="7">
        <v>2239.81</v>
      </c>
      <c r="F41" s="5">
        <v>0</v>
      </c>
      <c r="G41" s="12"/>
      <c r="H41" s="5">
        <v>0</v>
      </c>
      <c r="I41" s="5">
        <v>2239.81</v>
      </c>
      <c r="J41" s="7">
        <v>2239.81</v>
      </c>
      <c r="K41" s="5">
        <v>0</v>
      </c>
      <c r="L41" s="12"/>
      <c r="M41" s="5">
        <v>0</v>
      </c>
      <c r="N41" s="5">
        <v>11395.239999999998</v>
      </c>
      <c r="O41" s="7">
        <v>11395.239999999998</v>
      </c>
      <c r="P41" s="5">
        <v>0</v>
      </c>
      <c r="Q41" s="12"/>
    </row>
    <row r="42" spans="1:17" outlineLevel="1" x14ac:dyDescent="0.2">
      <c r="A42" s="5"/>
      <c r="B42" s="5"/>
      <c r="C42" s="5">
        <v>0</v>
      </c>
      <c r="D42" s="5">
        <v>300.14</v>
      </c>
      <c r="E42" s="7">
        <v>300.14</v>
      </c>
      <c r="F42" s="5">
        <v>0</v>
      </c>
      <c r="G42" s="12"/>
      <c r="H42" s="5">
        <v>0</v>
      </c>
      <c r="I42" s="5">
        <v>300.14</v>
      </c>
      <c r="J42" s="7">
        <v>300.14</v>
      </c>
      <c r="K42" s="5">
        <v>0</v>
      </c>
      <c r="L42" s="12"/>
      <c r="M42" s="5">
        <v>0</v>
      </c>
      <c r="N42" s="5">
        <v>1526.9700000000003</v>
      </c>
      <c r="O42" s="7">
        <v>1526.9700000000003</v>
      </c>
      <c r="P42" s="5">
        <v>0</v>
      </c>
      <c r="Q42" s="12"/>
    </row>
    <row r="43" spans="1:17" outlineLevel="1" x14ac:dyDescent="0.2">
      <c r="A43" s="5"/>
      <c r="B43" s="5"/>
      <c r="C43" s="5">
        <v>0</v>
      </c>
      <c r="D43" s="5">
        <v>3782.8000000000029</v>
      </c>
      <c r="E43" s="7">
        <v>3782.8000000000029</v>
      </c>
      <c r="F43" s="5">
        <v>0</v>
      </c>
      <c r="G43" s="12"/>
      <c r="H43" s="5">
        <v>0</v>
      </c>
      <c r="I43" s="5">
        <v>12429.200000000019</v>
      </c>
      <c r="J43" s="7">
        <v>12429.200000000019</v>
      </c>
      <c r="K43" s="5">
        <v>0</v>
      </c>
      <c r="L43" s="12"/>
      <c r="M43" s="5">
        <v>0</v>
      </c>
      <c r="N43" s="5">
        <v>7411.2000000000044</v>
      </c>
      <c r="O43" s="7">
        <v>7411.2000000000044</v>
      </c>
      <c r="P43" s="5">
        <v>0</v>
      </c>
      <c r="Q43" s="12"/>
    </row>
    <row r="44" spans="1:17" x14ac:dyDescent="0.2">
      <c r="A44" s="5"/>
      <c r="B44" s="5"/>
      <c r="C44" s="5">
        <v>7188</v>
      </c>
      <c r="D44" s="5">
        <v>69684.070000000007</v>
      </c>
      <c r="E44" s="7">
        <v>76872.070000000007</v>
      </c>
      <c r="F44" s="5">
        <v>0</v>
      </c>
      <c r="G44" s="12"/>
      <c r="H44" s="5">
        <v>12620.02</v>
      </c>
      <c r="I44" s="5">
        <v>77818.260000000009</v>
      </c>
      <c r="J44" s="7">
        <v>90438.280000000013</v>
      </c>
      <c r="K44" s="5">
        <v>0</v>
      </c>
      <c r="L44" s="12"/>
      <c r="M44" s="5">
        <v>11818.61</v>
      </c>
      <c r="N44" s="5">
        <v>79063.28</v>
      </c>
      <c r="O44" s="7">
        <v>90881.89</v>
      </c>
      <c r="P44" s="5">
        <v>0</v>
      </c>
      <c r="Q44" s="12"/>
    </row>
    <row r="45" spans="1:17" outlineLevel="1" x14ac:dyDescent="0.2">
      <c r="A45" s="5"/>
      <c r="B45" s="5"/>
      <c r="C45" s="5">
        <v>6539.59</v>
      </c>
      <c r="D45" s="5">
        <v>7254.27</v>
      </c>
      <c r="E45" s="7">
        <v>13793.86</v>
      </c>
      <c r="F45" s="5">
        <v>0</v>
      </c>
      <c r="G45" s="12"/>
      <c r="H45" s="5">
        <v>11435.48</v>
      </c>
      <c r="I45" s="5">
        <v>12326.86</v>
      </c>
      <c r="J45" s="7">
        <v>23762.34</v>
      </c>
      <c r="K45" s="5">
        <v>0</v>
      </c>
      <c r="L45" s="12"/>
      <c r="M45" s="5">
        <v>10706.61</v>
      </c>
      <c r="N45" s="5">
        <v>3426.1000000000004</v>
      </c>
      <c r="O45" s="7">
        <v>14132.710000000001</v>
      </c>
      <c r="P45" s="5">
        <v>0</v>
      </c>
      <c r="Q45" s="12"/>
    </row>
    <row r="46" spans="1:17" outlineLevel="1" x14ac:dyDescent="0.2">
      <c r="A46" s="5"/>
      <c r="B46" s="5"/>
      <c r="C46" s="5">
        <v>35</v>
      </c>
      <c r="D46" s="5">
        <v>0</v>
      </c>
      <c r="E46" s="7">
        <v>35</v>
      </c>
      <c r="F46" s="5">
        <v>0</v>
      </c>
      <c r="G46" s="12"/>
      <c r="H46" s="5">
        <v>35</v>
      </c>
      <c r="I46" s="5">
        <v>0</v>
      </c>
      <c r="J46" s="7">
        <v>35</v>
      </c>
      <c r="K46" s="5">
        <v>0</v>
      </c>
      <c r="L46" s="12"/>
      <c r="M46" s="5">
        <v>35</v>
      </c>
      <c r="N46" s="5">
        <v>245.88</v>
      </c>
      <c r="O46" s="7">
        <v>280.88</v>
      </c>
      <c r="P46" s="5">
        <v>0</v>
      </c>
      <c r="Q46" s="12"/>
    </row>
    <row r="47" spans="1:17" outlineLevel="1" x14ac:dyDescent="0.2">
      <c r="A47" s="5"/>
      <c r="B47" s="5"/>
      <c r="C47" s="5">
        <v>592.13</v>
      </c>
      <c r="D47" s="5">
        <v>0</v>
      </c>
      <c r="E47" s="7">
        <v>592.13</v>
      </c>
      <c r="F47" s="5">
        <v>0</v>
      </c>
      <c r="G47" s="12"/>
      <c r="H47" s="5">
        <v>1146.8399999999999</v>
      </c>
      <c r="I47" s="5">
        <v>0</v>
      </c>
      <c r="J47" s="7">
        <v>1146.8399999999999</v>
      </c>
      <c r="K47" s="5">
        <v>0</v>
      </c>
      <c r="L47" s="12"/>
      <c r="M47" s="5">
        <v>1074.3000000000002</v>
      </c>
      <c r="N47" s="5">
        <v>39.25</v>
      </c>
      <c r="O47" s="7">
        <v>1113.5500000000002</v>
      </c>
      <c r="P47" s="5">
        <v>0</v>
      </c>
      <c r="Q47" s="12"/>
    </row>
    <row r="48" spans="1:17" outlineLevel="1" x14ac:dyDescent="0.2">
      <c r="A48" s="5"/>
      <c r="B48" s="5"/>
      <c r="C48" s="5">
        <v>2.7</v>
      </c>
      <c r="D48" s="5">
        <v>0</v>
      </c>
      <c r="E48" s="7">
        <v>2.7</v>
      </c>
      <c r="F48" s="5">
        <v>0</v>
      </c>
      <c r="G48" s="12"/>
      <c r="H48" s="5">
        <v>2.7</v>
      </c>
      <c r="I48" s="5">
        <v>0</v>
      </c>
      <c r="J48" s="7">
        <v>2.7</v>
      </c>
      <c r="K48" s="5">
        <v>0</v>
      </c>
      <c r="L48" s="12"/>
      <c r="M48" s="5">
        <v>2.7</v>
      </c>
      <c r="N48" s="5">
        <v>0</v>
      </c>
      <c r="O48" s="7">
        <v>2.7</v>
      </c>
      <c r="P48" s="5">
        <v>0</v>
      </c>
      <c r="Q48" s="12"/>
    </row>
    <row r="49" spans="1:17" outlineLevel="1" x14ac:dyDescent="0.2">
      <c r="A49" s="5"/>
      <c r="B49" s="5"/>
      <c r="C49" s="5">
        <v>18.580000000000837</v>
      </c>
      <c r="D49" s="5">
        <v>62429.8</v>
      </c>
      <c r="E49" s="7">
        <v>62448.380000000005</v>
      </c>
      <c r="F49" s="5">
        <v>0</v>
      </c>
      <c r="G49" s="12"/>
      <c r="H49" s="5">
        <v>0</v>
      </c>
      <c r="I49" s="5">
        <v>65491.399999999994</v>
      </c>
      <c r="J49" s="7">
        <v>65491.399999999994</v>
      </c>
      <c r="K49" s="5">
        <v>0</v>
      </c>
      <c r="L49" s="12"/>
      <c r="M49" s="5">
        <v>0</v>
      </c>
      <c r="N49" s="5">
        <v>75352.049999999988</v>
      </c>
      <c r="O49" s="7">
        <v>75352.049999999988</v>
      </c>
      <c r="P49" s="5">
        <v>0</v>
      </c>
      <c r="Q49" s="12"/>
    </row>
    <row r="50" spans="1:17" x14ac:dyDescent="0.2">
      <c r="A50" s="5"/>
      <c r="B50" s="5"/>
      <c r="C50" s="5">
        <v>609324.79</v>
      </c>
      <c r="D50" s="5">
        <v>0</v>
      </c>
      <c r="E50" s="7">
        <v>609324.79</v>
      </c>
      <c r="F50" s="5">
        <v>0</v>
      </c>
      <c r="G50" s="12"/>
      <c r="H50" s="5">
        <v>614173.56999999995</v>
      </c>
      <c r="I50" s="5">
        <v>0</v>
      </c>
      <c r="J50" s="7">
        <v>614173.56999999995</v>
      </c>
      <c r="K50" s="5">
        <v>0</v>
      </c>
      <c r="L50" s="12"/>
      <c r="M50" s="5">
        <v>645305.72</v>
      </c>
      <c r="N50" s="5">
        <v>0</v>
      </c>
      <c r="O50" s="7">
        <v>645305.72</v>
      </c>
      <c r="P50" s="5">
        <v>0</v>
      </c>
      <c r="Q50" s="12"/>
    </row>
    <row r="51" spans="1:17" outlineLevel="1" x14ac:dyDescent="0.2">
      <c r="A51" s="5"/>
      <c r="B51" s="5"/>
      <c r="C51" s="5">
        <v>589859.42999999993</v>
      </c>
      <c r="D51" s="5">
        <v>0</v>
      </c>
      <c r="E51" s="7">
        <v>589859.42999999993</v>
      </c>
      <c r="F51" s="5">
        <v>0</v>
      </c>
      <c r="G51" s="12"/>
      <c r="H51" s="5">
        <v>594553.30999999994</v>
      </c>
      <c r="I51" s="5">
        <v>0</v>
      </c>
      <c r="J51" s="7">
        <v>594553.30999999994</v>
      </c>
      <c r="K51" s="5">
        <v>0</v>
      </c>
      <c r="L51" s="12"/>
      <c r="M51" s="5">
        <v>629566.56000000006</v>
      </c>
      <c r="N51" s="5">
        <v>0</v>
      </c>
      <c r="O51" s="7">
        <v>629566.56000000006</v>
      </c>
      <c r="P51" s="5">
        <v>0</v>
      </c>
      <c r="Q51" s="12"/>
    </row>
    <row r="52" spans="1:17" outlineLevel="1" x14ac:dyDescent="0.2">
      <c r="A52" s="5"/>
      <c r="B52" s="5"/>
      <c r="C52" s="5">
        <v>19465.36</v>
      </c>
      <c r="D52" s="5">
        <v>0</v>
      </c>
      <c r="E52" s="7">
        <v>19465.36</v>
      </c>
      <c r="F52" s="5">
        <v>0</v>
      </c>
      <c r="G52" s="12"/>
      <c r="H52" s="5">
        <v>19620.259999999998</v>
      </c>
      <c r="I52" s="5">
        <v>0</v>
      </c>
      <c r="J52" s="7">
        <v>19620.259999999998</v>
      </c>
      <c r="K52" s="5">
        <v>0</v>
      </c>
      <c r="L52" s="12"/>
      <c r="M52" s="5">
        <v>15739.16</v>
      </c>
      <c r="N52" s="5">
        <v>0</v>
      </c>
      <c r="O52" s="7">
        <v>15739.16</v>
      </c>
      <c r="P52" s="5">
        <v>0</v>
      </c>
      <c r="Q52" s="12"/>
    </row>
    <row r="53" spans="1:17" x14ac:dyDescent="0.2">
      <c r="A53" s="5"/>
      <c r="B53" s="5"/>
      <c r="C53" s="5">
        <v>0</v>
      </c>
      <c r="D53" s="5">
        <v>37376.599999999991</v>
      </c>
      <c r="E53" s="7">
        <v>37376.599999999991</v>
      </c>
      <c r="F53" s="5">
        <v>0</v>
      </c>
      <c r="G53" s="12"/>
      <c r="H53" s="5">
        <v>0</v>
      </c>
      <c r="I53" s="5">
        <v>42753.219999999987</v>
      </c>
      <c r="J53" s="7">
        <v>42753.219999999987</v>
      </c>
      <c r="K53" s="5">
        <v>0</v>
      </c>
      <c r="L53" s="12"/>
      <c r="M53" s="5">
        <v>0</v>
      </c>
      <c r="N53" s="5">
        <v>31846.369999999995</v>
      </c>
      <c r="O53" s="7">
        <v>31846.369999999995</v>
      </c>
      <c r="P53" s="5">
        <v>0</v>
      </c>
      <c r="Q53" s="12"/>
    </row>
    <row r="54" spans="1:17" outlineLevel="1" x14ac:dyDescent="0.2">
      <c r="A54" s="5"/>
      <c r="B54" s="5"/>
      <c r="C54" s="5">
        <v>0</v>
      </c>
      <c r="D54" s="5">
        <v>22100.54</v>
      </c>
      <c r="E54" s="7">
        <v>22100.54</v>
      </c>
      <c r="F54" s="5">
        <v>0</v>
      </c>
      <c r="G54" s="12"/>
      <c r="H54" s="5">
        <v>0</v>
      </c>
      <c r="I54" s="5">
        <v>25329.979999999996</v>
      </c>
      <c r="J54" s="7">
        <v>25329.979999999996</v>
      </c>
      <c r="K54" s="5">
        <v>0</v>
      </c>
      <c r="L54" s="12"/>
      <c r="M54" s="5">
        <v>0</v>
      </c>
      <c r="N54" s="5">
        <v>16754.669999999998</v>
      </c>
      <c r="O54" s="7">
        <v>16754.669999999998</v>
      </c>
      <c r="P54" s="5">
        <v>0</v>
      </c>
      <c r="Q54" s="12"/>
    </row>
    <row r="55" spans="1:17" outlineLevel="1" x14ac:dyDescent="0.2">
      <c r="A55" s="5"/>
      <c r="B55" s="5"/>
      <c r="C55" s="5">
        <v>0</v>
      </c>
      <c r="D55" s="5">
        <v>3121.3199999999997</v>
      </c>
      <c r="E55" s="7">
        <v>3121.3199999999997</v>
      </c>
      <c r="F55" s="5">
        <v>0</v>
      </c>
      <c r="G55" s="12"/>
      <c r="H55" s="5">
        <v>0</v>
      </c>
      <c r="I55" s="5">
        <v>4797.92</v>
      </c>
      <c r="J55" s="7">
        <v>4797.92</v>
      </c>
      <c r="K55" s="5">
        <v>0</v>
      </c>
      <c r="L55" s="12"/>
      <c r="M55" s="5">
        <v>0</v>
      </c>
      <c r="N55" s="5">
        <v>2930.38</v>
      </c>
      <c r="O55" s="7">
        <v>2930.38</v>
      </c>
      <c r="P55" s="5">
        <v>0</v>
      </c>
      <c r="Q55" s="12"/>
    </row>
    <row r="56" spans="1:17" outlineLevel="1" x14ac:dyDescent="0.2">
      <c r="A56" s="5"/>
      <c r="B56" s="5"/>
      <c r="C56" s="5">
        <v>0</v>
      </c>
      <c r="D56" s="5">
        <v>421.23</v>
      </c>
      <c r="E56" s="7">
        <v>421.23</v>
      </c>
      <c r="F56" s="5">
        <v>0</v>
      </c>
      <c r="G56" s="12"/>
      <c r="H56" s="5">
        <v>0</v>
      </c>
      <c r="I56" s="5">
        <v>642.91999999999996</v>
      </c>
      <c r="J56" s="7">
        <v>642.91999999999996</v>
      </c>
      <c r="K56" s="5">
        <v>0</v>
      </c>
      <c r="L56" s="12"/>
      <c r="M56" s="5">
        <v>0</v>
      </c>
      <c r="N56" s="5">
        <v>392.67</v>
      </c>
      <c r="O56" s="7">
        <v>392.67</v>
      </c>
      <c r="P56" s="5">
        <v>0</v>
      </c>
      <c r="Q56" s="12"/>
    </row>
    <row r="57" spans="1:17" outlineLevel="1" x14ac:dyDescent="0.2">
      <c r="A57" s="5"/>
      <c r="B57" s="5"/>
      <c r="C57" s="5">
        <v>0</v>
      </c>
      <c r="D57" s="5">
        <v>11733.509999999987</v>
      </c>
      <c r="E57" s="7">
        <v>11733.509999999987</v>
      </c>
      <c r="F57" s="5">
        <v>0</v>
      </c>
      <c r="G57" s="12"/>
      <c r="H57" s="5">
        <v>0</v>
      </c>
      <c r="I57" s="5">
        <v>11982.400000000009</v>
      </c>
      <c r="J57" s="7">
        <v>11982.400000000009</v>
      </c>
      <c r="K57" s="5">
        <v>0</v>
      </c>
      <c r="L57" s="12"/>
      <c r="M57" s="5">
        <v>0</v>
      </c>
      <c r="N57" s="5">
        <v>11768.650000000001</v>
      </c>
      <c r="O57" s="7">
        <v>11768.650000000001</v>
      </c>
      <c r="P57" s="5">
        <v>0</v>
      </c>
      <c r="Q57" s="12"/>
    </row>
    <row r="58" spans="1:17" x14ac:dyDescent="0.2">
      <c r="A58" s="5"/>
      <c r="B58" s="5"/>
      <c r="C58" s="5">
        <v>772</v>
      </c>
      <c r="D58" s="5">
        <v>0</v>
      </c>
      <c r="E58" s="7">
        <v>772</v>
      </c>
      <c r="F58" s="5">
        <v>0</v>
      </c>
      <c r="G58" s="12"/>
      <c r="H58" s="5">
        <v>29047.039999999997</v>
      </c>
      <c r="I58" s="5">
        <v>0</v>
      </c>
      <c r="J58" s="7">
        <v>29047.039999999997</v>
      </c>
      <c r="K58" s="5">
        <v>0</v>
      </c>
      <c r="L58" s="12"/>
      <c r="M58" s="5">
        <v>1944</v>
      </c>
      <c r="N58" s="5">
        <v>0</v>
      </c>
      <c r="O58" s="7">
        <v>1944</v>
      </c>
      <c r="P58" s="5">
        <v>0</v>
      </c>
      <c r="Q58" s="12"/>
    </row>
    <row r="59" spans="1:17" outlineLevel="1" x14ac:dyDescent="0.2">
      <c r="A59" s="5"/>
      <c r="B59" s="5"/>
      <c r="C59" s="5">
        <v>0</v>
      </c>
      <c r="D59" s="5">
        <v>0</v>
      </c>
      <c r="E59" s="7">
        <v>0</v>
      </c>
      <c r="F59" s="5">
        <v>0</v>
      </c>
      <c r="G59" s="12"/>
      <c r="H59" s="5">
        <v>28738.239999999998</v>
      </c>
      <c r="I59" s="5">
        <v>0</v>
      </c>
      <c r="J59" s="7">
        <v>28738.239999999998</v>
      </c>
      <c r="K59" s="5"/>
      <c r="L59" s="12"/>
      <c r="M59" s="5">
        <v>0</v>
      </c>
      <c r="N59" s="5">
        <v>0</v>
      </c>
      <c r="O59" s="7">
        <v>0</v>
      </c>
      <c r="P59" s="5">
        <v>0</v>
      </c>
      <c r="Q59" s="12"/>
    </row>
    <row r="60" spans="1:17" outlineLevel="1" x14ac:dyDescent="0.2">
      <c r="A60" s="5"/>
      <c r="B60" s="5"/>
      <c r="C60" s="5">
        <v>772</v>
      </c>
      <c r="D60" s="5">
        <v>0</v>
      </c>
      <c r="E60" s="7">
        <v>772</v>
      </c>
      <c r="F60" s="5">
        <v>0</v>
      </c>
      <c r="G60" s="12"/>
      <c r="H60" s="5">
        <v>308.79999999999927</v>
      </c>
      <c r="I60" s="5">
        <v>0</v>
      </c>
      <c r="J60" s="7">
        <v>308.79999999999927</v>
      </c>
      <c r="K60" s="5">
        <v>0</v>
      </c>
      <c r="L60" s="12"/>
      <c r="M60" s="5">
        <v>1944</v>
      </c>
      <c r="N60" s="5">
        <v>0</v>
      </c>
      <c r="O60" s="7">
        <v>1944</v>
      </c>
      <c r="P60" s="5">
        <v>0</v>
      </c>
      <c r="Q60" s="12"/>
    </row>
    <row r="64" spans="1:17" s="2" customFormat="1" ht="62.1" customHeight="1" x14ac:dyDescent="0.2">
      <c r="C64" s="34" t="s">
        <v>14</v>
      </c>
      <c r="D64" s="34"/>
      <c r="E64" s="34"/>
      <c r="F64" s="34"/>
      <c r="G64" s="9"/>
      <c r="L64" s="9"/>
      <c r="Q64" s="9"/>
    </row>
    <row r="65" spans="1:7" x14ac:dyDescent="0.2">
      <c r="A65" s="4" t="s">
        <v>0</v>
      </c>
      <c r="B65" s="4" t="s">
        <v>1</v>
      </c>
      <c r="C65" s="4" t="s">
        <v>3</v>
      </c>
      <c r="D65" s="4" t="s">
        <v>4</v>
      </c>
      <c r="E65" s="4" t="s">
        <v>2</v>
      </c>
      <c r="F65" s="4" t="s">
        <v>5</v>
      </c>
      <c r="G65" s="10"/>
    </row>
    <row r="66" spans="1:7" x14ac:dyDescent="0.2">
      <c r="A66" s="6" t="s">
        <v>2</v>
      </c>
      <c r="B66" s="6"/>
      <c r="C66" s="6">
        <f>SUMIF($B67:$B107,"",$C67:$C107)</f>
        <v>7560451.2199999997</v>
      </c>
      <c r="D66" s="6">
        <f>SUMIF($B67:$B107,"",$D67:$D107)</f>
        <v>3603919.8400000059</v>
      </c>
      <c r="E66" s="6">
        <f>SUMIF($B67:$B107,"",$E67:$E107)</f>
        <v>11164371.060000002</v>
      </c>
      <c r="F66" s="6">
        <f>SUMIF($B67:$B107,"",$F67:$F107)</f>
        <v>0</v>
      </c>
      <c r="G66" s="11">
        <f>SUMIF($B67:$B107,"",$G67:$G107)</f>
        <v>0</v>
      </c>
    </row>
    <row r="67" spans="1:7" x14ac:dyDescent="0.2">
      <c r="A67" s="5"/>
      <c r="B67" s="5"/>
      <c r="C67" s="5">
        <v>789675.94000000367</v>
      </c>
      <c r="D67" s="5">
        <v>1037829.8200000057</v>
      </c>
      <c r="E67" s="7">
        <v>1827505.7600000093</v>
      </c>
      <c r="F67" s="5"/>
      <c r="G67" s="12"/>
    </row>
    <row r="68" spans="1:7" outlineLevel="1" x14ac:dyDescent="0.2">
      <c r="A68" s="5"/>
      <c r="B68" s="5"/>
      <c r="C68" s="5">
        <v>242790.58000000013</v>
      </c>
      <c r="D68" s="5">
        <v>259199.54000000018</v>
      </c>
      <c r="E68" s="7">
        <v>501990.12000000034</v>
      </c>
      <c r="F68" s="5"/>
      <c r="G68" s="12"/>
    </row>
    <row r="69" spans="1:7" outlineLevel="1" x14ac:dyDescent="0.2">
      <c r="A69" s="5"/>
      <c r="B69" s="5"/>
      <c r="C69" s="5">
        <v>474541.21</v>
      </c>
      <c r="D69" s="5">
        <v>701032.23999999953</v>
      </c>
      <c r="E69" s="7">
        <v>1175573.4499999995</v>
      </c>
      <c r="F69" s="5"/>
      <c r="G69" s="12"/>
    </row>
    <row r="70" spans="1:7" outlineLevel="1" x14ac:dyDescent="0.2">
      <c r="A70" s="5"/>
      <c r="B70" s="5"/>
      <c r="C70" s="5">
        <v>50221.970000000008</v>
      </c>
      <c r="D70" s="5">
        <v>56717.08</v>
      </c>
      <c r="E70" s="7">
        <v>106939.05000000002</v>
      </c>
      <c r="F70" s="5"/>
      <c r="G70" s="12"/>
    </row>
    <row r="71" spans="1:7" outlineLevel="1" x14ac:dyDescent="0.2">
      <c r="A71" s="5"/>
      <c r="B71" s="5"/>
      <c r="C71" s="5">
        <v>20573.600000000006</v>
      </c>
      <c r="D71" s="5">
        <v>16888.919999999998</v>
      </c>
      <c r="E71" s="7">
        <v>37462.520000000004</v>
      </c>
      <c r="F71" s="5"/>
      <c r="G71" s="12"/>
    </row>
    <row r="72" spans="1:7" outlineLevel="1" x14ac:dyDescent="0.2">
      <c r="A72" s="5"/>
      <c r="B72" s="5"/>
      <c r="C72" s="5">
        <v>1548.580000000009</v>
      </c>
      <c r="D72" s="5">
        <v>3992.0400000002701</v>
      </c>
      <c r="E72" s="7">
        <v>5540.6200000002791</v>
      </c>
      <c r="F72" s="5"/>
      <c r="G72" s="12"/>
    </row>
    <row r="73" spans="1:7" x14ac:dyDescent="0.2">
      <c r="A73" s="5"/>
      <c r="B73" s="5"/>
      <c r="C73" s="5">
        <v>1398228.4899999942</v>
      </c>
      <c r="D73" s="5">
        <v>472607.32999999967</v>
      </c>
      <c r="E73" s="7">
        <v>1870835.8199999938</v>
      </c>
      <c r="F73" s="5"/>
      <c r="G73" s="12"/>
    </row>
    <row r="74" spans="1:7" outlineLevel="1" x14ac:dyDescent="0.2">
      <c r="A74" s="5"/>
      <c r="B74" s="5"/>
      <c r="C74" s="5">
        <v>406886.38</v>
      </c>
      <c r="D74" s="5">
        <v>340976.69</v>
      </c>
      <c r="E74" s="7">
        <v>747863.07000000007</v>
      </c>
      <c r="F74" s="5"/>
      <c r="G74" s="12"/>
    </row>
    <row r="75" spans="1:7" outlineLevel="1" x14ac:dyDescent="0.2">
      <c r="A75" s="5"/>
      <c r="B75" s="5"/>
      <c r="C75" s="5">
        <v>860593.26999999979</v>
      </c>
      <c r="D75" s="5">
        <v>89999.24</v>
      </c>
      <c r="E75" s="7">
        <v>950592.50999999978</v>
      </c>
      <c r="F75" s="5"/>
      <c r="G75" s="12"/>
    </row>
    <row r="76" spans="1:7" outlineLevel="1" x14ac:dyDescent="0.2">
      <c r="A76" s="5"/>
      <c r="B76" s="5"/>
      <c r="C76" s="5">
        <v>72628.95</v>
      </c>
      <c r="D76" s="5">
        <v>7353.0499999999984</v>
      </c>
      <c r="E76" s="7">
        <v>79982</v>
      </c>
      <c r="F76" s="5"/>
      <c r="G76" s="12"/>
    </row>
    <row r="77" spans="1:7" outlineLevel="1" x14ac:dyDescent="0.2">
      <c r="A77" s="5"/>
      <c r="B77" s="5"/>
      <c r="C77" s="5">
        <v>34522.160000000003</v>
      </c>
      <c r="D77" s="5">
        <v>31148.359999999997</v>
      </c>
      <c r="E77" s="7">
        <v>65670.52</v>
      </c>
      <c r="F77" s="5"/>
      <c r="G77" s="12"/>
    </row>
    <row r="78" spans="1:7" outlineLevel="1" x14ac:dyDescent="0.2">
      <c r="A78" s="5"/>
      <c r="B78" s="5"/>
      <c r="C78" s="5">
        <v>23597.729999999734</v>
      </c>
      <c r="D78" s="5">
        <v>3129.9900000000907</v>
      </c>
      <c r="E78" s="7">
        <v>26727.719999999823</v>
      </c>
      <c r="F78" s="5"/>
      <c r="G78" s="12"/>
    </row>
    <row r="79" spans="1:7" x14ac:dyDescent="0.2">
      <c r="A79" s="5"/>
      <c r="B79" s="5"/>
      <c r="C79" s="5">
        <v>568689.41999999981</v>
      </c>
      <c r="D79" s="5">
        <v>38061.370000000039</v>
      </c>
      <c r="E79" s="7">
        <v>606750.7899999998</v>
      </c>
      <c r="F79" s="5"/>
      <c r="G79" s="12"/>
    </row>
    <row r="80" spans="1:7" outlineLevel="1" x14ac:dyDescent="0.2">
      <c r="A80" s="5"/>
      <c r="B80" s="5"/>
      <c r="C80" s="5">
        <v>39145.290000000023</v>
      </c>
      <c r="D80" s="5">
        <v>10301.230000000003</v>
      </c>
      <c r="E80" s="7">
        <v>49446.520000000026</v>
      </c>
      <c r="F80" s="5"/>
      <c r="G80" s="12"/>
    </row>
    <row r="81" spans="1:7" outlineLevel="1" x14ac:dyDescent="0.2">
      <c r="A81" s="5"/>
      <c r="B81" s="5"/>
      <c r="C81" s="5">
        <v>468511.93</v>
      </c>
      <c r="D81" s="5">
        <v>21238.910000000007</v>
      </c>
      <c r="E81" s="7">
        <v>489750.84</v>
      </c>
      <c r="F81" s="5"/>
      <c r="G81" s="12"/>
    </row>
    <row r="82" spans="1:7" outlineLevel="1" x14ac:dyDescent="0.2">
      <c r="A82" s="5"/>
      <c r="B82" s="5"/>
      <c r="C82" s="5">
        <v>20121.36</v>
      </c>
      <c r="D82" s="5">
        <v>2125.73</v>
      </c>
      <c r="E82" s="7">
        <v>22247.09</v>
      </c>
      <c r="F82" s="5"/>
      <c r="G82" s="12"/>
    </row>
    <row r="83" spans="1:7" outlineLevel="1" x14ac:dyDescent="0.2">
      <c r="A83" s="5"/>
      <c r="B83" s="5"/>
      <c r="C83" s="5">
        <v>6121.6499999999987</v>
      </c>
      <c r="D83" s="5">
        <v>1804.9599999999998</v>
      </c>
      <c r="E83" s="7">
        <v>7926.6099999999988</v>
      </c>
      <c r="F83" s="5"/>
      <c r="G83" s="12"/>
    </row>
    <row r="84" spans="1:7" outlineLevel="1" x14ac:dyDescent="0.2">
      <c r="A84" s="5"/>
      <c r="B84" s="5"/>
      <c r="C84" s="5">
        <v>34789.19</v>
      </c>
      <c r="D84" s="5">
        <v>2590.539999999995</v>
      </c>
      <c r="E84" s="7">
        <v>37379.729999999996</v>
      </c>
      <c r="F84" s="5"/>
      <c r="G84" s="12"/>
    </row>
    <row r="85" spans="1:7" x14ac:dyDescent="0.2">
      <c r="A85" s="5"/>
      <c r="B85" s="5"/>
      <c r="C85" s="5">
        <v>158621.32000000004</v>
      </c>
      <c r="D85" s="5">
        <v>110771.18000000011</v>
      </c>
      <c r="E85" s="7">
        <v>269392.50000000012</v>
      </c>
      <c r="F85" s="5"/>
      <c r="G85" s="12"/>
    </row>
    <row r="86" spans="1:7" outlineLevel="1" x14ac:dyDescent="0.2">
      <c r="A86" s="5"/>
      <c r="B86" s="5"/>
      <c r="C86" s="5">
        <v>4885.1299999999983</v>
      </c>
      <c r="D86" s="5">
        <v>49058.749999999978</v>
      </c>
      <c r="E86" s="7">
        <v>53943.879999999976</v>
      </c>
      <c r="F86" s="5"/>
      <c r="G86" s="12"/>
    </row>
    <row r="87" spans="1:7" outlineLevel="1" x14ac:dyDescent="0.2">
      <c r="A87" s="5"/>
      <c r="B87" s="5"/>
      <c r="C87" s="5">
        <v>136330.75</v>
      </c>
      <c r="D87" s="5">
        <v>47344.06</v>
      </c>
      <c r="E87" s="7">
        <v>183674.81</v>
      </c>
      <c r="F87" s="5"/>
      <c r="G87" s="12"/>
    </row>
    <row r="88" spans="1:7" outlineLevel="1" x14ac:dyDescent="0.2">
      <c r="A88" s="5"/>
      <c r="B88" s="5"/>
      <c r="C88" s="5">
        <v>7845.5200000000013</v>
      </c>
      <c r="D88" s="5">
        <v>4399.34</v>
      </c>
      <c r="E88" s="7">
        <v>12244.86</v>
      </c>
      <c r="F88" s="5"/>
      <c r="G88" s="12"/>
    </row>
    <row r="89" spans="1:7" outlineLevel="1" x14ac:dyDescent="0.2">
      <c r="A89" s="5"/>
      <c r="B89" s="5"/>
      <c r="C89" s="5">
        <v>634.16000000000008</v>
      </c>
      <c r="D89" s="5">
        <v>5341.2900000000009</v>
      </c>
      <c r="E89" s="7">
        <v>5975.4500000000007</v>
      </c>
      <c r="F89" s="5"/>
      <c r="G89" s="12"/>
    </row>
    <row r="90" spans="1:7" outlineLevel="1" x14ac:dyDescent="0.2">
      <c r="A90" s="5"/>
      <c r="B90" s="5"/>
      <c r="C90" s="5">
        <v>8925.7600000000166</v>
      </c>
      <c r="D90" s="5">
        <v>4627.7400000000125</v>
      </c>
      <c r="E90" s="7">
        <v>13553.500000000029</v>
      </c>
      <c r="F90" s="5"/>
      <c r="G90" s="12"/>
    </row>
    <row r="91" spans="1:7" x14ac:dyDescent="0.2">
      <c r="A91" s="5"/>
      <c r="B91" s="5"/>
      <c r="C91" s="5">
        <v>112668.53</v>
      </c>
      <c r="D91" s="5">
        <v>0</v>
      </c>
      <c r="E91" s="7">
        <v>112668.53</v>
      </c>
      <c r="F91" s="5"/>
      <c r="G91" s="12"/>
    </row>
    <row r="92" spans="1:7" outlineLevel="1" x14ac:dyDescent="0.2">
      <c r="A92" s="5"/>
      <c r="B92" s="5"/>
      <c r="C92" s="5">
        <v>112668.53</v>
      </c>
      <c r="D92" s="5">
        <v>0</v>
      </c>
      <c r="E92" s="7">
        <v>112668.53</v>
      </c>
      <c r="F92" s="5"/>
      <c r="G92" s="12"/>
    </row>
    <row r="93" spans="1:7" outlineLevel="1" x14ac:dyDescent="0.2">
      <c r="A93" s="5"/>
      <c r="B93" s="5"/>
      <c r="C93" s="5"/>
      <c r="D93" s="5">
        <v>0</v>
      </c>
      <c r="E93" s="7"/>
      <c r="F93" s="5"/>
      <c r="G93" s="12"/>
    </row>
    <row r="94" spans="1:7" x14ac:dyDescent="0.2">
      <c r="A94" s="5"/>
      <c r="B94" s="5"/>
      <c r="C94" s="5">
        <v>32028.679999999989</v>
      </c>
      <c r="D94" s="5">
        <v>122390.22000000007</v>
      </c>
      <c r="E94" s="7">
        <v>154418.90000000005</v>
      </c>
      <c r="F94" s="5"/>
      <c r="G94" s="12"/>
    </row>
    <row r="95" spans="1:7" outlineLevel="1" x14ac:dyDescent="0.2">
      <c r="A95" s="5"/>
      <c r="B95" s="5"/>
      <c r="C95" s="5">
        <v>7689.67</v>
      </c>
      <c r="D95" s="5">
        <v>62674.94</v>
      </c>
      <c r="E95" s="7">
        <v>70364.61</v>
      </c>
      <c r="F95" s="5"/>
      <c r="G95" s="12"/>
    </row>
    <row r="96" spans="1:7" outlineLevel="1" x14ac:dyDescent="0.2">
      <c r="A96" s="5"/>
      <c r="B96" s="5"/>
      <c r="C96" s="5">
        <v>21996.329999999998</v>
      </c>
      <c r="D96" s="5">
        <v>48777.86</v>
      </c>
      <c r="E96" s="7">
        <v>70774.19</v>
      </c>
      <c r="F96" s="5"/>
      <c r="G96" s="12"/>
    </row>
    <row r="97" spans="1:17" outlineLevel="1" x14ac:dyDescent="0.2">
      <c r="A97" s="5"/>
      <c r="B97" s="5"/>
      <c r="C97" s="5">
        <v>1249.4000000000001</v>
      </c>
      <c r="D97" s="5">
        <v>5706.21</v>
      </c>
      <c r="E97" s="7">
        <v>6955.6100000000006</v>
      </c>
      <c r="F97" s="5"/>
      <c r="G97" s="12"/>
    </row>
    <row r="98" spans="1:17" outlineLevel="1" x14ac:dyDescent="0.2">
      <c r="A98" s="5"/>
      <c r="B98" s="5"/>
      <c r="C98" s="5">
        <v>61.11</v>
      </c>
      <c r="D98" s="5">
        <v>45.95</v>
      </c>
      <c r="E98" s="7">
        <v>107.06</v>
      </c>
      <c r="F98" s="5"/>
      <c r="G98" s="12"/>
    </row>
    <row r="99" spans="1:17" outlineLevel="1" x14ac:dyDescent="0.2">
      <c r="A99" s="5"/>
      <c r="B99" s="5"/>
      <c r="C99" s="5">
        <v>1032.169999999996</v>
      </c>
      <c r="D99" s="5">
        <v>5185.2599999999775</v>
      </c>
      <c r="E99" s="7">
        <v>6217.429999999973</v>
      </c>
      <c r="F99" s="5"/>
      <c r="G99" s="12"/>
    </row>
    <row r="100" spans="1:17" x14ac:dyDescent="0.2">
      <c r="A100" s="5"/>
      <c r="B100" s="5"/>
      <c r="C100" s="5">
        <v>20720</v>
      </c>
      <c r="D100" s="5">
        <v>20300</v>
      </c>
      <c r="E100" s="7">
        <v>41020</v>
      </c>
      <c r="F100" s="5"/>
      <c r="G100" s="12"/>
    </row>
    <row r="101" spans="1:17" outlineLevel="1" x14ac:dyDescent="0.2">
      <c r="A101" s="5"/>
      <c r="B101" s="5"/>
      <c r="C101" s="5">
        <v>20720</v>
      </c>
      <c r="D101" s="5">
        <v>20300</v>
      </c>
      <c r="E101" s="7">
        <v>41020</v>
      </c>
      <c r="F101" s="5"/>
      <c r="G101" s="12"/>
    </row>
    <row r="102" spans="1:17" x14ac:dyDescent="0.2">
      <c r="A102" s="5"/>
      <c r="B102" s="5"/>
      <c r="C102" s="5">
        <v>663255.40999999992</v>
      </c>
      <c r="D102" s="5">
        <v>0</v>
      </c>
      <c r="E102" s="7">
        <v>663255.40999999992</v>
      </c>
      <c r="F102" s="5"/>
      <c r="G102" s="12"/>
    </row>
    <row r="103" spans="1:17" outlineLevel="1" x14ac:dyDescent="0.2">
      <c r="A103" s="5"/>
      <c r="B103" s="5"/>
      <c r="C103" s="5">
        <v>647078.44999999995</v>
      </c>
      <c r="D103" s="5">
        <v>0</v>
      </c>
      <c r="E103" s="7">
        <v>647078.44999999995</v>
      </c>
      <c r="F103" s="5"/>
      <c r="G103" s="12"/>
    </row>
    <row r="104" spans="1:17" outlineLevel="1" x14ac:dyDescent="0.2">
      <c r="A104" s="5"/>
      <c r="B104" s="5"/>
      <c r="C104" s="5">
        <v>16176.96</v>
      </c>
      <c r="D104" s="5">
        <v>0</v>
      </c>
      <c r="E104" s="7">
        <v>16176.96</v>
      </c>
      <c r="F104" s="5"/>
      <c r="G104" s="12"/>
    </row>
    <row r="105" spans="1:17" x14ac:dyDescent="0.2">
      <c r="A105" s="5"/>
      <c r="B105" s="5"/>
      <c r="C105" s="5">
        <v>36337.82</v>
      </c>
      <c r="D105" s="5">
        <v>0</v>
      </c>
      <c r="E105" s="7">
        <v>36337.82</v>
      </c>
      <c r="F105" s="5"/>
      <c r="G105" s="12"/>
    </row>
    <row r="106" spans="1:17" outlineLevel="1" x14ac:dyDescent="0.2">
      <c r="A106" s="5"/>
      <c r="B106" s="5"/>
      <c r="C106" s="5">
        <v>36337.819999999992</v>
      </c>
      <c r="D106" s="5">
        <v>0</v>
      </c>
      <c r="E106" s="7">
        <v>36337.819999999992</v>
      </c>
      <c r="F106" s="5"/>
      <c r="G106" s="12"/>
    </row>
    <row r="107" spans="1:17" outlineLevel="1" x14ac:dyDescent="0.2">
      <c r="A107" s="5"/>
      <c r="B107" s="5"/>
      <c r="C107" s="5"/>
      <c r="D107" s="5">
        <v>0</v>
      </c>
      <c r="E107" s="7"/>
      <c r="F107" s="5"/>
      <c r="G107" s="12"/>
    </row>
    <row r="111" spans="1:17" s="2" customFormat="1" ht="62.1" customHeight="1" x14ac:dyDescent="0.2">
      <c r="C111" s="34" t="s">
        <v>15</v>
      </c>
      <c r="D111" s="34"/>
      <c r="E111" s="34"/>
      <c r="F111" s="34"/>
      <c r="G111" s="9"/>
      <c r="L111" s="9"/>
      <c r="Q111" s="9"/>
    </row>
    <row r="112" spans="1:17" x14ac:dyDescent="0.2">
      <c r="A112" s="4"/>
      <c r="B112" s="4"/>
      <c r="C112" s="4"/>
      <c r="D112" s="4"/>
      <c r="E112" s="4" t="s">
        <v>2</v>
      </c>
      <c r="F112" s="4"/>
      <c r="G112" s="10"/>
    </row>
    <row r="113" spans="1:7" x14ac:dyDescent="0.2">
      <c r="A113" s="6" t="s">
        <v>2</v>
      </c>
      <c r="B113" s="6"/>
      <c r="C113" s="6">
        <f>SUMIF($B114:$B159,"",$C114:$C159)</f>
        <v>7913515.1199999982</v>
      </c>
      <c r="D113" s="6">
        <f>SUMIF($B114:$B159,"",$D114:$D159)</f>
        <v>3619083.7199999988</v>
      </c>
      <c r="E113" s="6">
        <f>SUMIF($B114:$B159,"",$E114:$E159)</f>
        <v>11532598.839999996</v>
      </c>
      <c r="F113" s="6">
        <f>SUMIF($B114:$B159,"",$F114:$F159)</f>
        <v>0</v>
      </c>
      <c r="G113" s="11">
        <f>SUMIF($B114:$B159,"",$G114:$G159)</f>
        <v>0</v>
      </c>
    </row>
    <row r="114" spans="1:7" x14ac:dyDescent="0.2">
      <c r="A114" s="5"/>
      <c r="B114" s="5"/>
      <c r="C114" s="5">
        <v>878043.67000000493</v>
      </c>
      <c r="D114" s="5">
        <v>1174873.6099999968</v>
      </c>
      <c r="E114" s="7">
        <v>2052917.2800000017</v>
      </c>
      <c r="F114" s="5"/>
      <c r="G114" s="12"/>
    </row>
    <row r="115" spans="1:7" outlineLevel="1" x14ac:dyDescent="0.2">
      <c r="A115" s="5"/>
      <c r="B115" s="5"/>
      <c r="C115" s="5">
        <v>255144.44000000003</v>
      </c>
      <c r="D115" s="5">
        <v>356198.94000000024</v>
      </c>
      <c r="E115" s="7">
        <v>611343.38000000024</v>
      </c>
      <c r="F115" s="5"/>
      <c r="G115" s="12"/>
    </row>
    <row r="116" spans="1:7" outlineLevel="1" x14ac:dyDescent="0.2">
      <c r="A116" s="5"/>
      <c r="B116" s="5"/>
      <c r="C116" s="5">
        <v>549822.85000000009</v>
      </c>
      <c r="D116" s="5">
        <v>730275.56000000029</v>
      </c>
      <c r="E116" s="7">
        <v>1280098.4100000004</v>
      </c>
      <c r="F116" s="5"/>
      <c r="G116" s="12"/>
    </row>
    <row r="117" spans="1:7" outlineLevel="1" x14ac:dyDescent="0.2">
      <c r="A117" s="5"/>
      <c r="B117" s="5"/>
      <c r="C117" s="5">
        <v>52494.899999999987</v>
      </c>
      <c r="D117" s="5">
        <v>63131.75</v>
      </c>
      <c r="E117" s="7">
        <v>115626.65</v>
      </c>
      <c r="F117" s="5"/>
      <c r="G117" s="12"/>
    </row>
    <row r="118" spans="1:7" outlineLevel="1" x14ac:dyDescent="0.2">
      <c r="A118" s="5"/>
      <c r="B118" s="5"/>
      <c r="C118" s="5">
        <v>18826.130000000005</v>
      </c>
      <c r="D118" s="5">
        <v>21994.15</v>
      </c>
      <c r="E118" s="7">
        <v>40820.280000000006</v>
      </c>
      <c r="F118" s="5"/>
      <c r="G118" s="12"/>
    </row>
    <row r="119" spans="1:7" outlineLevel="1" x14ac:dyDescent="0.2">
      <c r="A119" s="5"/>
      <c r="B119" s="5"/>
      <c r="C119" s="5">
        <v>1755.3499999994601</v>
      </c>
      <c r="D119" s="5">
        <v>3273.2100000003338</v>
      </c>
      <c r="E119" s="7">
        <v>5028.5599999997939</v>
      </c>
      <c r="F119" s="5"/>
      <c r="G119" s="12"/>
    </row>
    <row r="120" spans="1:7" x14ac:dyDescent="0.2">
      <c r="A120" s="5"/>
      <c r="B120" s="5"/>
      <c r="C120" s="5">
        <v>1533249.3899999943</v>
      </c>
      <c r="D120" s="5">
        <v>231300.49999999988</v>
      </c>
      <c r="E120" s="7">
        <v>1764549.8899999941</v>
      </c>
      <c r="F120" s="5"/>
      <c r="G120" s="12"/>
    </row>
    <row r="121" spans="1:7" outlineLevel="1" x14ac:dyDescent="0.2">
      <c r="A121" s="5"/>
      <c r="B121" s="5"/>
      <c r="C121" s="5">
        <v>441260.67000000004</v>
      </c>
      <c r="D121" s="5">
        <v>120390.30999999998</v>
      </c>
      <c r="E121" s="7">
        <v>561650.9800000001</v>
      </c>
      <c r="F121" s="5"/>
      <c r="G121" s="12"/>
    </row>
    <row r="122" spans="1:7" outlineLevel="1" x14ac:dyDescent="0.2">
      <c r="A122" s="5"/>
      <c r="B122" s="5"/>
      <c r="C122" s="5">
        <v>929564.20000000019</v>
      </c>
      <c r="D122" s="5">
        <v>73434.720000000001</v>
      </c>
      <c r="E122" s="7">
        <v>1002998.9200000003</v>
      </c>
      <c r="F122" s="5"/>
      <c r="G122" s="12"/>
    </row>
    <row r="123" spans="1:7" outlineLevel="1" x14ac:dyDescent="0.2">
      <c r="A123" s="5"/>
      <c r="B123" s="5"/>
      <c r="C123" s="5">
        <v>72014.12</v>
      </c>
      <c r="D123" s="5">
        <v>5820.59</v>
      </c>
      <c r="E123" s="7">
        <v>77834.709999999992</v>
      </c>
      <c r="F123" s="5"/>
      <c r="G123" s="12"/>
    </row>
    <row r="124" spans="1:7" outlineLevel="1" x14ac:dyDescent="0.2">
      <c r="A124" s="5"/>
      <c r="B124" s="5"/>
      <c r="C124" s="5">
        <v>40848.979999999996</v>
      </c>
      <c r="D124" s="5">
        <v>17165.669999999998</v>
      </c>
      <c r="E124" s="7">
        <v>58014.649999999994</v>
      </c>
      <c r="F124" s="5"/>
      <c r="G124" s="12"/>
    </row>
    <row r="125" spans="1:7" outlineLevel="1" x14ac:dyDescent="0.2">
      <c r="A125" s="5"/>
      <c r="B125" s="5"/>
      <c r="C125" s="5">
        <v>49561.41999999914</v>
      </c>
      <c r="D125" s="5">
        <v>14489.209999999935</v>
      </c>
      <c r="E125" s="7">
        <v>64050.629999999073</v>
      </c>
      <c r="F125" s="5"/>
      <c r="G125" s="12"/>
    </row>
    <row r="126" spans="1:7" x14ac:dyDescent="0.2">
      <c r="A126" s="5"/>
      <c r="B126" s="5"/>
      <c r="C126" s="5">
        <v>520841.32999999984</v>
      </c>
      <c r="D126" s="5">
        <v>37535.779999999984</v>
      </c>
      <c r="E126" s="7">
        <v>558377.10999999987</v>
      </c>
      <c r="F126" s="5"/>
      <c r="G126" s="12"/>
    </row>
    <row r="127" spans="1:7" outlineLevel="1" x14ac:dyDescent="0.2">
      <c r="A127" s="5"/>
      <c r="B127" s="5"/>
      <c r="C127" s="5">
        <v>24603.630000000005</v>
      </c>
      <c r="D127" s="5">
        <v>6580.77</v>
      </c>
      <c r="E127" s="7">
        <v>31184.400000000009</v>
      </c>
      <c r="F127" s="5"/>
      <c r="G127" s="12"/>
    </row>
    <row r="128" spans="1:7" outlineLevel="1" x14ac:dyDescent="0.2">
      <c r="A128" s="5"/>
      <c r="B128" s="5"/>
      <c r="C128" s="5">
        <v>476507.85000000021</v>
      </c>
      <c r="D128" s="5">
        <v>35477.740000000005</v>
      </c>
      <c r="E128" s="7">
        <v>511985.5900000002</v>
      </c>
      <c r="F128" s="5"/>
      <c r="G128" s="12"/>
    </row>
    <row r="129" spans="1:7" outlineLevel="1" x14ac:dyDescent="0.2">
      <c r="A129" s="5"/>
      <c r="B129" s="5"/>
      <c r="C129" s="5">
        <v>21118.380000000005</v>
      </c>
      <c r="D129" s="5">
        <v>2855.7899999999995</v>
      </c>
      <c r="E129" s="7">
        <v>23974.170000000006</v>
      </c>
      <c r="F129" s="5"/>
      <c r="G129" s="12"/>
    </row>
    <row r="130" spans="1:7" outlineLevel="1" x14ac:dyDescent="0.2">
      <c r="A130" s="5"/>
      <c r="B130" s="5"/>
      <c r="C130" s="5">
        <v>4470.6900000000005</v>
      </c>
      <c r="D130" s="5">
        <v>1369.7</v>
      </c>
      <c r="E130" s="7">
        <v>5840.39</v>
      </c>
      <c r="F130" s="5"/>
      <c r="G130" s="12"/>
    </row>
    <row r="131" spans="1:7" outlineLevel="1" x14ac:dyDescent="0.2">
      <c r="A131" s="5"/>
      <c r="B131" s="5"/>
      <c r="C131" s="5">
        <v>-5859.2200000001467</v>
      </c>
      <c r="D131" s="5">
        <v>-8748.2199999999921</v>
      </c>
      <c r="E131" s="7">
        <v>-14607.440000000139</v>
      </c>
      <c r="F131" s="5"/>
      <c r="G131" s="12"/>
    </row>
    <row r="132" spans="1:7" x14ac:dyDescent="0.2">
      <c r="A132" s="5"/>
      <c r="B132" s="5"/>
      <c r="C132" s="5">
        <v>145216.70000000007</v>
      </c>
      <c r="D132" s="5">
        <v>208880.96000000037</v>
      </c>
      <c r="E132" s="7">
        <v>354097.66000000044</v>
      </c>
      <c r="F132" s="5"/>
      <c r="G132" s="12"/>
    </row>
    <row r="133" spans="1:7" outlineLevel="1" x14ac:dyDescent="0.2">
      <c r="A133" s="5"/>
      <c r="B133" s="5"/>
      <c r="C133" s="5">
        <v>8110.0100000000011</v>
      </c>
      <c r="D133" s="5">
        <v>127805.51000000002</v>
      </c>
      <c r="E133" s="7">
        <v>135915.52000000002</v>
      </c>
      <c r="F133" s="5"/>
      <c r="G133" s="12"/>
    </row>
    <row r="134" spans="1:7" outlineLevel="1" x14ac:dyDescent="0.2">
      <c r="A134" s="5"/>
      <c r="B134" s="5"/>
      <c r="C134" s="5">
        <v>120817.75000000001</v>
      </c>
      <c r="D134" s="5">
        <v>58997.650000000016</v>
      </c>
      <c r="E134" s="7">
        <v>179815.40000000002</v>
      </c>
      <c r="F134" s="5"/>
      <c r="G134" s="12"/>
    </row>
    <row r="135" spans="1:7" outlineLevel="1" x14ac:dyDescent="0.2">
      <c r="A135" s="5"/>
      <c r="B135" s="5"/>
      <c r="C135" s="5">
        <v>7586.0700000000006</v>
      </c>
      <c r="D135" s="5">
        <v>4360.6899999999996</v>
      </c>
      <c r="E135" s="7">
        <v>11946.76</v>
      </c>
      <c r="F135" s="5"/>
      <c r="G135" s="12"/>
    </row>
    <row r="136" spans="1:7" outlineLevel="1" x14ac:dyDescent="0.2">
      <c r="A136" s="5"/>
      <c r="B136" s="5"/>
      <c r="C136" s="5">
        <v>162.26999999999998</v>
      </c>
      <c r="D136" s="5">
        <v>7695.9999999999991</v>
      </c>
      <c r="E136" s="7">
        <v>7858.2699999999986</v>
      </c>
      <c r="F136" s="5"/>
      <c r="G136" s="12"/>
    </row>
    <row r="137" spans="1:7" outlineLevel="1" x14ac:dyDescent="0.2">
      <c r="A137" s="5"/>
      <c r="B137" s="5"/>
      <c r="C137" s="5">
        <v>8540.6000000000276</v>
      </c>
      <c r="D137" s="5">
        <v>10021.10999999995</v>
      </c>
      <c r="E137" s="7">
        <v>18561.709999999977</v>
      </c>
      <c r="F137" s="5"/>
      <c r="G137" s="12"/>
    </row>
    <row r="138" spans="1:7" x14ac:dyDescent="0.2">
      <c r="A138" s="5"/>
      <c r="B138" s="5"/>
      <c r="C138" s="5">
        <v>110659.89</v>
      </c>
      <c r="D138" s="5">
        <v>0</v>
      </c>
      <c r="E138" s="7">
        <v>110659.89</v>
      </c>
      <c r="F138" s="5"/>
      <c r="G138" s="12"/>
    </row>
    <row r="139" spans="1:7" outlineLevel="1" x14ac:dyDescent="0.2">
      <c r="A139" s="5"/>
      <c r="B139" s="5"/>
      <c r="C139" s="5">
        <v>110659.89</v>
      </c>
      <c r="D139" s="5">
        <v>0</v>
      </c>
      <c r="E139" s="7">
        <v>110659.89</v>
      </c>
      <c r="F139" s="5"/>
      <c r="G139" s="12"/>
    </row>
    <row r="140" spans="1:7" outlineLevel="1" x14ac:dyDescent="0.2">
      <c r="A140" s="5"/>
      <c r="B140" s="5"/>
      <c r="C140" s="5"/>
      <c r="D140" s="5">
        <v>0</v>
      </c>
      <c r="E140" s="7"/>
      <c r="F140" s="5"/>
      <c r="G140" s="12"/>
    </row>
    <row r="141" spans="1:7" x14ac:dyDescent="0.2">
      <c r="A141" s="5"/>
      <c r="B141" s="5"/>
      <c r="C141" s="5">
        <v>43545.25</v>
      </c>
      <c r="D141" s="5">
        <v>136418.12</v>
      </c>
      <c r="E141" s="7">
        <v>179963.37</v>
      </c>
      <c r="F141" s="5"/>
      <c r="G141" s="12"/>
    </row>
    <row r="142" spans="1:7" outlineLevel="1" x14ac:dyDescent="0.2">
      <c r="A142" s="5"/>
      <c r="B142" s="5"/>
      <c r="C142" s="5">
        <v>16689.370000000003</v>
      </c>
      <c r="D142" s="5">
        <v>49643.250000000007</v>
      </c>
      <c r="E142" s="7">
        <v>66332.62000000001</v>
      </c>
      <c r="F142" s="5"/>
      <c r="G142" s="12"/>
    </row>
    <row r="143" spans="1:7" outlineLevel="1" x14ac:dyDescent="0.2">
      <c r="A143" s="5"/>
      <c r="B143" s="5"/>
      <c r="C143" s="5">
        <v>25167.120000000003</v>
      </c>
      <c r="D143" s="5">
        <v>67031.320000000007</v>
      </c>
      <c r="E143" s="7">
        <v>92198.44</v>
      </c>
      <c r="F143" s="5"/>
      <c r="G143" s="12"/>
    </row>
    <row r="144" spans="1:7" outlineLevel="1" x14ac:dyDescent="0.2">
      <c r="A144" s="5"/>
      <c r="B144" s="5"/>
      <c r="C144" s="5">
        <v>1135.24</v>
      </c>
      <c r="D144" s="5">
        <v>6308.8100000000013</v>
      </c>
      <c r="E144" s="7">
        <v>7444.0500000000011</v>
      </c>
      <c r="F144" s="5"/>
      <c r="G144" s="12"/>
    </row>
    <row r="145" spans="1:7" outlineLevel="1" x14ac:dyDescent="0.2">
      <c r="A145" s="5"/>
      <c r="B145" s="5"/>
      <c r="C145" s="5">
        <v>47.129999999999995</v>
      </c>
      <c r="D145" s="5">
        <v>177.62</v>
      </c>
      <c r="E145" s="7">
        <v>224.75</v>
      </c>
      <c r="F145" s="5"/>
      <c r="G145" s="12"/>
    </row>
    <row r="146" spans="1:7" outlineLevel="1" x14ac:dyDescent="0.2">
      <c r="A146" s="5"/>
      <c r="B146" s="5"/>
      <c r="C146" s="5">
        <v>506.39000000001499</v>
      </c>
      <c r="D146" s="5">
        <v>13257.119999999981</v>
      </c>
      <c r="E146" s="7">
        <v>13763.509999999997</v>
      </c>
      <c r="F146" s="5"/>
      <c r="G146" s="12"/>
    </row>
    <row r="147" spans="1:7" x14ac:dyDescent="0.2">
      <c r="A147" s="5"/>
      <c r="B147" s="5"/>
      <c r="C147" s="5">
        <v>13050.8</v>
      </c>
      <c r="D147" s="5">
        <v>19740</v>
      </c>
      <c r="E147" s="7">
        <v>32790.800000000003</v>
      </c>
      <c r="F147" s="5"/>
      <c r="G147" s="12"/>
    </row>
    <row r="148" spans="1:7" outlineLevel="1" x14ac:dyDescent="0.2">
      <c r="A148" s="5"/>
      <c r="B148" s="5"/>
      <c r="C148" s="5">
        <v>390</v>
      </c>
      <c r="D148" s="5">
        <v>0</v>
      </c>
      <c r="E148" s="7">
        <v>390</v>
      </c>
      <c r="F148" s="5"/>
      <c r="G148" s="12"/>
    </row>
    <row r="149" spans="1:7" outlineLevel="1" x14ac:dyDescent="0.2">
      <c r="A149" s="5"/>
      <c r="B149" s="5"/>
      <c r="C149" s="5">
        <v>12660.8</v>
      </c>
      <c r="D149" s="5">
        <v>19740</v>
      </c>
      <c r="E149" s="7">
        <v>32400.799999999999</v>
      </c>
      <c r="F149" s="5"/>
      <c r="G149" s="12"/>
    </row>
    <row r="150" spans="1:7" x14ac:dyDescent="0.2">
      <c r="A150" s="5"/>
      <c r="B150" s="5"/>
      <c r="C150" s="5">
        <v>679783.67</v>
      </c>
      <c r="D150" s="5">
        <v>0</v>
      </c>
      <c r="E150" s="7">
        <v>679783.67</v>
      </c>
      <c r="F150" s="5"/>
      <c r="G150" s="12"/>
    </row>
    <row r="151" spans="1:7" outlineLevel="1" x14ac:dyDescent="0.2">
      <c r="A151" s="5"/>
      <c r="B151" s="5"/>
      <c r="C151" s="5">
        <v>663203.57999999996</v>
      </c>
      <c r="D151" s="5">
        <v>0</v>
      </c>
      <c r="E151" s="7">
        <v>663203.57999999996</v>
      </c>
      <c r="F151" s="5"/>
      <c r="G151" s="12"/>
    </row>
    <row r="152" spans="1:7" outlineLevel="1" x14ac:dyDescent="0.2">
      <c r="A152" s="5"/>
      <c r="B152" s="5"/>
      <c r="C152" s="5">
        <v>16580.09</v>
      </c>
      <c r="D152" s="5">
        <v>0</v>
      </c>
      <c r="E152" s="7">
        <v>16580.09</v>
      </c>
      <c r="F152" s="5"/>
      <c r="G152" s="12"/>
    </row>
    <row r="153" spans="1:7" x14ac:dyDescent="0.2">
      <c r="A153" s="5"/>
      <c r="B153" s="5"/>
      <c r="C153" s="5">
        <v>0</v>
      </c>
      <c r="D153" s="5">
        <v>792.89</v>
      </c>
      <c r="E153" s="7">
        <v>792.89</v>
      </c>
      <c r="F153" s="5"/>
      <c r="G153" s="12"/>
    </row>
    <row r="154" spans="1:7" outlineLevel="1" x14ac:dyDescent="0.2">
      <c r="A154" s="5"/>
      <c r="B154" s="5"/>
      <c r="C154" s="5">
        <v>0</v>
      </c>
      <c r="D154" s="5">
        <v>695.52</v>
      </c>
      <c r="E154" s="7">
        <v>695.52</v>
      </c>
      <c r="F154" s="5"/>
      <c r="G154" s="12"/>
    </row>
    <row r="155" spans="1:7" outlineLevel="1" x14ac:dyDescent="0.2">
      <c r="A155" s="5"/>
      <c r="B155" s="5"/>
      <c r="C155" s="5">
        <v>0</v>
      </c>
      <c r="D155" s="5">
        <v>97.37</v>
      </c>
      <c r="E155" s="7">
        <v>97.37</v>
      </c>
      <c r="F155" s="5"/>
      <c r="G155" s="12"/>
    </row>
    <row r="156" spans="1:7" outlineLevel="1" x14ac:dyDescent="0.2">
      <c r="A156" s="5"/>
      <c r="B156" s="5"/>
      <c r="C156" s="5">
        <v>0</v>
      </c>
      <c r="D156" s="5"/>
      <c r="E156" s="7"/>
      <c r="F156" s="5"/>
      <c r="G156" s="12"/>
    </row>
    <row r="157" spans="1:7" x14ac:dyDescent="0.2">
      <c r="A157" s="5"/>
      <c r="B157" s="5"/>
      <c r="C157" s="5">
        <v>32366.859999999997</v>
      </c>
      <c r="D157" s="5">
        <v>0</v>
      </c>
      <c r="E157" s="7">
        <v>32366.859999999997</v>
      </c>
      <c r="F157" s="5"/>
      <c r="G157" s="12"/>
    </row>
    <row r="158" spans="1:7" outlineLevel="1" x14ac:dyDescent="0.2">
      <c r="A158" s="5"/>
      <c r="B158" s="5"/>
      <c r="C158" s="5">
        <v>32366.86</v>
      </c>
      <c r="D158" s="5">
        <v>0</v>
      </c>
      <c r="E158" s="7">
        <v>32366.86</v>
      </c>
      <c r="F158" s="5"/>
      <c r="G158" s="12"/>
    </row>
    <row r="159" spans="1:7" outlineLevel="1" x14ac:dyDescent="0.2">
      <c r="A159" s="5"/>
      <c r="B159" s="5"/>
      <c r="C159" s="5"/>
      <c r="D159" s="5">
        <v>0</v>
      </c>
      <c r="E159" s="7"/>
      <c r="F159" s="5"/>
      <c r="G159" s="12"/>
    </row>
  </sheetData>
  <autoFilter ref="A112:B112"/>
  <mergeCells count="5">
    <mergeCell ref="C8:F8"/>
    <mergeCell ref="H8:K8"/>
    <mergeCell ref="M8:P8"/>
    <mergeCell ref="C64:F64"/>
    <mergeCell ref="C111:F1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3:H166"/>
  <sheetViews>
    <sheetView tabSelected="1" workbookViewId="0">
      <selection activeCell="F9" sqref="F9"/>
    </sheetView>
  </sheetViews>
  <sheetFormatPr baseColWidth="10" defaultRowHeight="15" x14ac:dyDescent="0.25"/>
  <cols>
    <col min="2" max="3" width="16.85546875" customWidth="1"/>
    <col min="5" max="5" width="16.140625" style="13" customWidth="1"/>
    <col min="6" max="7" width="18.7109375" customWidth="1"/>
  </cols>
  <sheetData>
    <row r="3" spans="2:6" ht="13.5" customHeight="1" x14ac:dyDescent="0.25">
      <c r="B3" t="e">
        <f ca="1">MID(CELL("nomfichier",#REF!),FIND("]",CELL("nomfichier",#REF!))+1,12)</f>
        <v>#REF!</v>
      </c>
      <c r="F3" s="13"/>
    </row>
    <row r="5" spans="2:6" x14ac:dyDescent="0.25">
      <c r="B5" s="18" t="s">
        <v>8</v>
      </c>
      <c r="C5" s="22" t="s">
        <v>6</v>
      </c>
      <c r="D5" s="22" t="s">
        <v>2</v>
      </c>
      <c r="E5" s="17" t="s">
        <v>7</v>
      </c>
    </row>
    <row r="6" spans="2:6" x14ac:dyDescent="0.25">
      <c r="B6" s="23" t="s">
        <v>10</v>
      </c>
      <c r="C6" s="29" t="str">
        <f ca="1">LEFT(INDIRECT($B$6&amp;"!c8"),6)</f>
        <v>COH012</v>
      </c>
      <c r="D6" s="14">
        <f ca="1">INDIRECT($B$6&amp;"!e10")</f>
        <v>10983010.180000011</v>
      </c>
      <c r="E6" s="26" t="str">
        <f ca="1">IF(COUNTIF(INDIRECT($B$6&amp;"!c8"),"*(CoC)*"),"CoC",IF(COUNTIF(INDIRECT($B$6&amp;"!c8"),"*Flight Line Entry*"),"Flight Line Entry",IF(COUNTIF(INDIRECT($B$6&amp;"!c8"),"*Start Of FAL*"),"Start Of FAL",IF(COUNTIF(INDIRECT($B$6&amp;"!c8"),"*Mating*"),"Mating",""))))</f>
        <v>CoC</v>
      </c>
    </row>
    <row r="7" spans="2:6" x14ac:dyDescent="0.25">
      <c r="B7" s="24" t="str">
        <f t="shared" ref="B7:B38" ca="1" si="0">IF(C7&lt;&gt;"",$B$6,"")</f>
        <v>Dolphin4POF</v>
      </c>
      <c r="C7" s="30" t="str">
        <f ca="1">LEFT(INDIRECT($B$6&amp;"!h8"),6)</f>
        <v>COH013</v>
      </c>
      <c r="D7" s="15">
        <f ca="1">INDIRECT($B$6&amp;"!j10")</f>
        <v>11162685.740000006</v>
      </c>
      <c r="E7" s="27" t="str">
        <f ca="1">IF(COUNTIF(INDIRECT($B$6&amp;"!h8"),"*(CoC)*"),"CoC",IF(COUNTIF(INDIRECT($B$6&amp;"!h8"),"*Flight Line Entry*"),"Flight Line Entry",IF(COUNTIF(INDIRECT($B$6&amp;"!h8"),"*Start Of FAL*"),"Start Of FAL",IF(COUNTIF(INDIRECT($B$6&amp;"!h8"),"*Mating*"),"Mating",""))))</f>
        <v>CoC</v>
      </c>
    </row>
    <row r="8" spans="2:6" x14ac:dyDescent="0.25">
      <c r="B8" s="24" t="str">
        <f t="shared" ca="1" si="0"/>
        <v>Dolphin4POF</v>
      </c>
      <c r="C8" s="30" t="str">
        <f ca="1">LEFT(INDIRECT($B$6&amp;"!m8"),6)</f>
        <v>COH014</v>
      </c>
      <c r="D8" s="15">
        <f ca="1">INDIRECT($B$6&amp;"!o10")</f>
        <v>11615741.500000017</v>
      </c>
      <c r="E8" s="27" t="str">
        <f ca="1">IF(COUNTIF(INDIRECT($B$6&amp;"!m8"),"*(CoC)*"),"CoC",IF(COUNTIF(INDIRECT($B$6&amp;"!m8"),"*Flight Line Entry*"),"Flight Line Entry",IF(COUNTIF(INDIRECT($B$6&amp;"!m8"),"*Start Of FAL*"),"Start Of FAL",IF(COUNTIF(INDIRECT($B$6&amp;"!m8"),"*Mating*"),"Mating",""))))</f>
        <v>CoC</v>
      </c>
    </row>
    <row r="9" spans="2:6" x14ac:dyDescent="0.25">
      <c r="B9" s="24" t="str">
        <f t="shared" ca="1" si="0"/>
        <v/>
      </c>
      <c r="C9" s="30" t="str">
        <f ca="1">LEFT(INDIRECT($B$6&amp;"!r8"),6)</f>
        <v/>
      </c>
      <c r="D9" s="15">
        <f ca="1">INDIRECT($B$6&amp;"!t10")</f>
        <v>0</v>
      </c>
      <c r="E9" s="27" t="str">
        <f ca="1">IF(COUNTIF(INDIRECT($B$6&amp;"!r8"),"*(CoC)*"),"CoC",IF(COUNTIF(INDIRECT($B$6&amp;"!r8"),"*Flight Line Entry*"),"Flight Line Entry",IF(COUNTIF(INDIRECT($B$6&amp;"!r8"),"*Start Of FAL*"),"Start Of FAL",IF(COUNTIF(INDIRECT($B$6&amp;"!r8"),"*Mating*"),"Mating",""))))</f>
        <v/>
      </c>
    </row>
    <row r="10" spans="2:6" x14ac:dyDescent="0.25">
      <c r="B10" s="24" t="str">
        <f t="shared" ca="1" si="0"/>
        <v/>
      </c>
      <c r="C10" s="30" t="str">
        <f ca="1">LEFT(INDIRECT($B$6&amp;"!w8"),6)</f>
        <v/>
      </c>
      <c r="D10" s="15">
        <f ca="1">INDIRECT($B$6&amp;"!y10")</f>
        <v>0</v>
      </c>
      <c r="E10" s="27" t="str">
        <f ca="1">IF(COUNTIF(INDIRECT($B$6&amp;"!w8"),"*(CoC)*"),"CoC",IF(COUNTIF(INDIRECT($B$6&amp;"!w8"),"*Flight Line Entry*"),"Flight Line Entry",IF(COUNTIF(INDIRECT($B$6&amp;"!w8"),"*Start Of FAL*"),"Start Of FAL",IF(COUNTIF(INDIRECT($B$6&amp;"!w8"),"*Mating*"),"Mating",""))))</f>
        <v/>
      </c>
    </row>
    <row r="11" spans="2:6" x14ac:dyDescent="0.25">
      <c r="B11" s="24" t="str">
        <f t="shared" ca="1" si="0"/>
        <v/>
      </c>
      <c r="C11" s="30" t="str">
        <f ca="1">LEFT(INDIRECT($B$6&amp;"!ab8"),6)</f>
        <v/>
      </c>
      <c r="D11" s="15">
        <f ca="1">INDIRECT($B$6&amp;"!ad10")</f>
        <v>0</v>
      </c>
      <c r="E11" s="27" t="str">
        <f ca="1">IF(COUNTIF(INDIRECT($B$6&amp;"!ab8"),"*(CoC)*"),"CoC",IF(COUNTIF(INDIRECT($B$6&amp;"!ab8"),"*Flight Line Entry*"),"Flight Line Entry",IF(COUNTIF(INDIRECT($B$6&amp;"!ab8"),"*Start Of FAL*"),"Start Of FAL",IF(COUNTIF(INDIRECT($B$6&amp;"!ab8"),"*Mating*"),"Mating",""))))</f>
        <v/>
      </c>
    </row>
    <row r="12" spans="2:6" x14ac:dyDescent="0.25">
      <c r="B12" s="24" t="str">
        <f t="shared" ca="1" si="0"/>
        <v/>
      </c>
      <c r="C12" s="30" t="str">
        <f ca="1">LEFT(INDIRECT($B$6&amp;"!ag8"),6)</f>
        <v/>
      </c>
      <c r="D12" s="15">
        <f ca="1">INDIRECT($B$6&amp;"!ai10")</f>
        <v>0</v>
      </c>
      <c r="E12" s="27" t="str">
        <f ca="1">IF(COUNTIF(INDIRECT($B$6&amp;"!ag8"),"*(CoC)*"),"CoC",IF(COUNTIF(INDIRECT($B$6&amp;"!ag8"),"*Flight Line Entry*"),"Flight Line Entry",IF(COUNTIF(INDIRECT($B$6&amp;"!ag8"),"*Start Of FAL*"),"Start Of FAL",IF(COUNTIF(INDIRECT($B$6&amp;"!ag8"),"*Mating*"),"Mating",""))))</f>
        <v/>
      </c>
    </row>
    <row r="13" spans="2:6" x14ac:dyDescent="0.25">
      <c r="B13" s="24" t="str">
        <f t="shared" ca="1" si="0"/>
        <v/>
      </c>
      <c r="C13" s="30" t="str">
        <f ca="1">LEFT(INDIRECT($B$6&amp;"!al8"),6)</f>
        <v/>
      </c>
      <c r="D13" s="15">
        <f ca="1">INDIRECT($B$6&amp;"!an10")</f>
        <v>0</v>
      </c>
      <c r="E13" s="27" t="str">
        <f ca="1">IF(COUNTIF(INDIRECT($B$6&amp;"!al8"),"*(CoC)*"),"CoC",IF(COUNTIF(INDIRECT($B$6&amp;"!al8"),"*Flight Line Entry*"),"Flight Line Entry",IF(COUNTIF(INDIRECT($B$6&amp;"!al8"),"*Start Of FAL*"),"Start Of FAL",IF(COUNTIF(INDIRECT($B$6&amp;"!al8"),"*Mating*"),"Mating",""))))</f>
        <v/>
      </c>
    </row>
    <row r="14" spans="2:6" x14ac:dyDescent="0.25">
      <c r="B14" s="24" t="str">
        <f t="shared" ca="1" si="0"/>
        <v/>
      </c>
      <c r="C14" s="30" t="str">
        <f ca="1">LEFT(INDIRECT($B$6&amp;"!aq8"),6)</f>
        <v/>
      </c>
      <c r="D14" s="15">
        <f ca="1">INDIRECT($B$6&amp;"!as10")</f>
        <v>0</v>
      </c>
      <c r="E14" s="27" t="str">
        <f ca="1">IF(COUNTIF(INDIRECT($B$6&amp;"!aq8"),"*(CoC)*"),"CoC",IF(COUNTIF(INDIRECT($B$6&amp;"!aq8"),"*Flight Line Entry*"),"Flight Line Entry",IF(COUNTIF(INDIRECT($B$6&amp;"!aq8"),"*Start Of FAL*"),"Start Of FAL",IF(COUNTIF(INDIRECT($B$6&amp;"!aq8"),"*Mating*"),"Mating",""))))</f>
        <v/>
      </c>
    </row>
    <row r="15" spans="2:6" x14ac:dyDescent="0.25">
      <c r="B15" s="24" t="str">
        <f t="shared" ca="1" si="0"/>
        <v/>
      </c>
      <c r="C15" s="30" t="str">
        <f ca="1">LEFT(INDIRECT($B$6&amp;"!av8"),6)</f>
        <v/>
      </c>
      <c r="D15" s="15">
        <f ca="1">INDIRECT($B$6&amp;"!ax10")</f>
        <v>0</v>
      </c>
      <c r="E15" s="27" t="str">
        <f ca="1">IF(COUNTIF(INDIRECT($B$6&amp;"!av8"),"*(CoC)*"),"CoC",IF(COUNTIF(INDIRECT($B$6&amp;"!av8"),"*Flight Line Entry*"),"Flight Line Entry",IF(COUNTIF(INDIRECT($B$6&amp;"!av8"),"*Start Of FAL*"),"Start Of FAL",IF(COUNTIF(INDIRECT($B$6&amp;"!av8"),"*Mating*"),"Mating",""))))</f>
        <v/>
      </c>
    </row>
    <row r="16" spans="2:6" x14ac:dyDescent="0.25">
      <c r="B16" s="24" t="str">
        <f t="shared" ca="1" si="0"/>
        <v/>
      </c>
      <c r="C16" s="30" t="str">
        <f ca="1">LEFT(INDIRECT($B$6&amp;"!ba8"),6)</f>
        <v/>
      </c>
      <c r="D16" s="15">
        <f ca="1">INDIRECT($B$6&amp;"!bc10")</f>
        <v>0</v>
      </c>
      <c r="E16" s="27" t="str">
        <f ca="1">IF(COUNTIF(INDIRECT($B$6&amp;"!ba8"),"*(CoC)*"),"CoC",IF(COUNTIF(INDIRECT($B$6&amp;"!ba8"),"*Flight Line Entry*"),"Flight Line Entry",IF(COUNTIF(INDIRECT($B$6&amp;"!ba8"),"*Start Of FAL*"),"Start Of FAL",IF(COUNTIF(INDIRECT($B$6&amp;"!ba8"),"*Mating*"),"Mating",""))))</f>
        <v/>
      </c>
    </row>
    <row r="17" spans="2:8" x14ac:dyDescent="0.25">
      <c r="B17" s="24" t="str">
        <f t="shared" ca="1" si="0"/>
        <v/>
      </c>
      <c r="C17" s="30" t="str">
        <f ca="1">LEFT(INDIRECT($B$6&amp;"!bf8"),6)</f>
        <v/>
      </c>
      <c r="D17" s="15">
        <f ca="1">INDIRECT($B$6&amp;"!bh10")</f>
        <v>0</v>
      </c>
      <c r="E17" s="27" t="str">
        <f ca="1">IF(COUNTIF(INDIRECT($B$6&amp;"!bf8"),"*(CoC)*"),"CoC",IF(COUNTIF(INDIRECT($B$6&amp;"!bf8"),"*Flight Line Entry*"),"Flight Line Entry",IF(COUNTIF(INDIRECT($B$6&amp;"!bf8"),"*Start Of FAL*"),"Start Of FAL",IF(COUNTIF(INDIRECT($B$6&amp;"!bf8"),"*Mating*"),"Mating",""))))</f>
        <v/>
      </c>
    </row>
    <row r="18" spans="2:8" x14ac:dyDescent="0.25">
      <c r="B18" s="24" t="str">
        <f t="shared" ca="1" si="0"/>
        <v/>
      </c>
      <c r="C18" s="30" t="str">
        <f ca="1">LEFT(INDIRECT($B$6&amp;"!bk8"),6)</f>
        <v/>
      </c>
      <c r="D18" s="15">
        <f ca="1">INDIRECT($B$6&amp;"!bm10")</f>
        <v>0</v>
      </c>
      <c r="E18" s="27" t="str">
        <f ca="1">IF(COUNTIF(INDIRECT($B$6&amp;"!bk8"),"*(CoC)*"),"CoC",IF(COUNTIF(INDIRECT($B$6&amp;"!bk8"),"*Flight Line Entry*"),"Flight Line Entry",IF(COUNTIF(INDIRECT($B$6&amp;"!bk8"),"*Start Of FAL*"),"Start Of FAL",IF(COUNTIF(INDIRECT($B$6&amp;"!bk8"),"*Mating*"),"Mating",""))))</f>
        <v/>
      </c>
    </row>
    <row r="19" spans="2:8" x14ac:dyDescent="0.25">
      <c r="B19" s="24" t="str">
        <f t="shared" ca="1" si="0"/>
        <v/>
      </c>
      <c r="C19" s="30" t="str">
        <f ca="1">LEFT(INDIRECT($B$6&amp;"!bp8"),6)</f>
        <v/>
      </c>
      <c r="D19" s="15">
        <f ca="1">INDIRECT($B$6&amp;"!br10")</f>
        <v>0</v>
      </c>
      <c r="E19" s="27" t="str">
        <f ca="1">IF(COUNTIF(INDIRECT($B$6&amp;"!bp8"),"*(CoC)*"),"CoC",IF(COUNTIF(INDIRECT($B$6&amp;"!bp8"),"*Flight Line Entry*"),"Flight Line Entry",IF(COUNTIF(INDIRECT($B$6&amp;"!bp8"),"*Start Of FAL*"),"Start Of FAL",IF(COUNTIF(INDIRECT($B$6&amp;"!bp8"),"*Mating*"),"Mating",""))))</f>
        <v/>
      </c>
    </row>
    <row r="20" spans="2:8" x14ac:dyDescent="0.25">
      <c r="B20" s="24" t="str">
        <f t="shared" ca="1" si="0"/>
        <v/>
      </c>
      <c r="C20" s="30" t="str">
        <f ca="1">LEFT(INDIRECT($B$6&amp;"!bu8"),6)</f>
        <v/>
      </c>
      <c r="D20" s="15">
        <f ca="1">INDIRECT($B$6&amp;"!bw10")</f>
        <v>0</v>
      </c>
      <c r="E20" s="27" t="str">
        <f ca="1">IF(COUNTIF(INDIRECT($B$6&amp;"!bu8"),"*(CoC)*"),"CoC",IF(COUNTIF(INDIRECT($B$6&amp;"!bu8"),"*Flight Line Entry*"),"Flight Line Entry",IF(COUNTIF(INDIRECT($B$6&amp;"!bu8"),"*Start Of FAL*"),"Start Of FAL",IF(COUNTIF(INDIRECT($B$6&amp;"!bu8"),"*Mating*"),"Mating",""))))</f>
        <v/>
      </c>
    </row>
    <row r="21" spans="2:8" x14ac:dyDescent="0.25">
      <c r="B21" s="24" t="str">
        <f t="shared" ca="1" si="0"/>
        <v/>
      </c>
      <c r="C21" s="30" t="str">
        <f ca="1">LEFT(INDIRECT($B$6&amp;"!bz8"),6)</f>
        <v/>
      </c>
      <c r="D21" s="15">
        <f ca="1">INDIRECT($B$6&amp;"!cb10")</f>
        <v>0</v>
      </c>
      <c r="E21" s="27" t="str">
        <f ca="1">IF(COUNTIF(INDIRECT($B$6&amp;"!bz8"),"*(CoC)*"),"CoC",IF(COUNTIF(INDIRECT($B$6&amp;"!bz8"),"*Flight Line Entry*"),"Flight Line Entry",IF(COUNTIF(INDIRECT($B$6&amp;"!bz8"),"*Start Of FAL*"),"Start Of FAL",IF(COUNTIF(INDIRECT($B$6&amp;"!bz8"),"*Mating*"),"Mating",""))))</f>
        <v/>
      </c>
    </row>
    <row r="22" spans="2:8" x14ac:dyDescent="0.25">
      <c r="B22" s="24" t="str">
        <f t="shared" ca="1" si="0"/>
        <v/>
      </c>
      <c r="C22" s="30" t="str">
        <f ca="1">LEFT(INDIRECT($B$6&amp;"!ce8"),6)</f>
        <v/>
      </c>
      <c r="D22" s="15">
        <f ca="1">INDIRECT($B$6&amp;"!cg10")</f>
        <v>0</v>
      </c>
      <c r="E22" s="27" t="str">
        <f ca="1">IF(COUNTIF(INDIRECT($B$6&amp;"!ce8"),"*(CoC)*"),"CoC",IF(COUNTIF(INDIRECT($B$6&amp;"!ce8"),"*Flight Line Entry*"),"Flight Line Entry",IF(COUNTIF(INDIRECT($B$6&amp;"!ce8"),"*Start Of FAL*"),"Start Of FAL",IF(COUNTIF(INDIRECT($B$6&amp;"!ce8"),"*Mating*"),"Mating",""))))</f>
        <v/>
      </c>
    </row>
    <row r="23" spans="2:8" x14ac:dyDescent="0.25">
      <c r="B23" s="24" t="str">
        <f t="shared" ca="1" si="0"/>
        <v/>
      </c>
      <c r="C23" s="30" t="str">
        <f ca="1">LEFT(INDIRECT($B$6&amp;"!cj8"),6)</f>
        <v/>
      </c>
      <c r="D23" s="15">
        <f ca="1">INDIRECT($B$6&amp;"!cl10")</f>
        <v>0</v>
      </c>
      <c r="E23" s="27" t="str">
        <f ca="1">IF(COUNTIF(INDIRECT($B$6&amp;"!cj8"),"*(CoC)*"),"CoC",IF(COUNTIF(INDIRECT($B$6&amp;"!cj8"),"*Flight Line Entry*"),"Flight Line Entry",IF(COUNTIF(INDIRECT($B$6&amp;"!cj8"),"*Start Of FAL*"),"Start Of FAL",IF(COUNTIF(INDIRECT($B$6&amp;"!cj8"),"*Mating*"),"Mating",""))))</f>
        <v/>
      </c>
    </row>
    <row r="24" spans="2:8" x14ac:dyDescent="0.25">
      <c r="B24" s="24" t="str">
        <f t="shared" ca="1" si="0"/>
        <v/>
      </c>
      <c r="C24" s="30" t="str">
        <f ca="1">LEFT(INDIRECT($B$6&amp;"!co8"),6)</f>
        <v/>
      </c>
      <c r="D24" s="15">
        <f ca="1">INDIRECT($B$6&amp;"!cq10")</f>
        <v>0</v>
      </c>
      <c r="E24" s="27" t="str">
        <f ca="1">IF(COUNTIF(INDIRECT($B$6&amp;"!co8"),"*(CoC)*"),"CoC",IF(COUNTIF(INDIRECT($B$6&amp;"!co8"),"*Flight Line Entry*"),"Flight Line Entry",IF(COUNTIF(INDIRECT($B$6&amp;"!co8"),"*Start Of FAL*"),"Start Of FAL",IF(COUNTIF(INDIRECT($B$6&amp;"!co8"),"*Mating*"),"Mating",""))))</f>
        <v/>
      </c>
    </row>
    <row r="25" spans="2:8" x14ac:dyDescent="0.25">
      <c r="B25" s="24" t="str">
        <f t="shared" ca="1" si="0"/>
        <v/>
      </c>
      <c r="C25" s="30" t="str">
        <f ca="1">LEFT(INDIRECT($B$6&amp;"!ct8"),6)</f>
        <v/>
      </c>
      <c r="D25" s="15">
        <f ca="1">INDIRECT($B$6&amp;"!cv10")</f>
        <v>0</v>
      </c>
      <c r="E25" s="27" t="str">
        <f ca="1">IF(COUNTIF(INDIRECT($B$6&amp;"!ct8"),"*(CoC)*"),"CoC",IF(COUNTIF(INDIRECT($B$6&amp;"!ct8"),"*Flight Line Entry*"),"Flight Line Entry",IF(COUNTIF(INDIRECT($B$6&amp;"!ct8"),"*Start Of FAL*"),"Start Of FAL",IF(COUNTIF(INDIRECT($B$6&amp;"!ct8"),"*Mating*"),"Mating",""))))</f>
        <v/>
      </c>
    </row>
    <row r="26" spans="2:8" x14ac:dyDescent="0.25">
      <c r="B26" s="24" t="str">
        <f t="shared" ca="1" si="0"/>
        <v>Dolphin4POF</v>
      </c>
      <c r="C26" s="30" t="str">
        <f ca="1">LEFT(INDIRECT($B$6&amp;"!c65"),6)</f>
        <v>Basis</v>
      </c>
      <c r="D26" s="15">
        <f ca="1">INDIRECT($B$6&amp;"!e67")</f>
        <v>1827505.7600000093</v>
      </c>
      <c r="E26" s="27" t="str">
        <f ca="1">IF(COUNTIF(INDIRECT($B$6&amp;"!c65"),"*(CoC)*"),"CoC",IF(COUNTIF(INDIRECT($B$6&amp;"!c65"),"*Flight Line Entry*"),"Flight Line Entry",IF(COUNTIF(INDIRECT($B$6&amp;"!c65"),"*Start Of FAL*"),"Start Of FAL",IF(COUNTIF(INDIRECT($B$6&amp;"!c65"),"*Mating*"),"Mating",""))))</f>
        <v/>
      </c>
      <c r="H26" t="s">
        <v>9</v>
      </c>
    </row>
    <row r="27" spans="2:8" x14ac:dyDescent="0.25">
      <c r="B27" s="24" t="str">
        <f t="shared" ca="1" si="0"/>
        <v/>
      </c>
      <c r="C27" s="30" t="str">
        <f ca="1">LEFT(INDIRECT($B$6&amp;"!h65"),6)</f>
        <v/>
      </c>
      <c r="D27" s="15">
        <f ca="1">INDIRECT($B$6&amp;"!j67")</f>
        <v>0</v>
      </c>
      <c r="E27" s="27" t="str">
        <f ca="1">IF(COUNTIF(INDIRECT($B$6&amp;"!h65"),"*(CoC)*"),"CoC",IF(COUNTIF(INDIRECT($B$6&amp;"!h65"),"*Flight Line Entry*"),"Flight Line Entry",IF(COUNTIF(INDIRECT($B$6&amp;"!h65"),"*Start Of FAL*"),"Start Of FAL",IF(COUNTIF(INDIRECT($B$6&amp;"!h65"),"*Mating*"),"Mating",""))))</f>
        <v/>
      </c>
    </row>
    <row r="28" spans="2:8" x14ac:dyDescent="0.25">
      <c r="B28" s="24" t="str">
        <f t="shared" ca="1" si="0"/>
        <v/>
      </c>
      <c r="C28" s="30" t="str">
        <f ca="1">LEFT(INDIRECT($B$6&amp;"!m65"),6)</f>
        <v/>
      </c>
      <c r="D28" s="15">
        <f ca="1">INDIRECT($B$6&amp;"!o67")</f>
        <v>0</v>
      </c>
      <c r="E28" s="27" t="str">
        <f ca="1">IF(COUNTIF(INDIRECT($B$6&amp;"!m65"),"*(CoC)*"),"CoC",IF(COUNTIF(INDIRECT($B$6&amp;"!m65"),"*Flight Line Entry*"),"Flight Line Entry",IF(COUNTIF(INDIRECT($B$6&amp;"!m65"),"*Start Of FAL*"),"Start Of FAL",IF(COUNTIF(INDIRECT($B$6&amp;"!m65"),"*Mating*"),"Mating",""))))</f>
        <v/>
      </c>
    </row>
    <row r="29" spans="2:8" x14ac:dyDescent="0.25">
      <c r="B29" s="24" t="str">
        <f t="shared" ca="1" si="0"/>
        <v/>
      </c>
      <c r="C29" s="30" t="str">
        <f ca="1">LEFT(INDIRECT($B$6&amp;"!r65"),6)</f>
        <v/>
      </c>
      <c r="D29" s="15">
        <f ca="1">INDIRECT($B$6&amp;"!t67")</f>
        <v>0</v>
      </c>
      <c r="E29" s="27" t="str">
        <f ca="1">IF(COUNTIF(INDIRECT($B$6&amp;"!r65"),"*(CoC)*"),"CoC",IF(COUNTIF(INDIRECT($B$6&amp;"!r65"),"*Flight Line Entry*"),"Flight Line Entry",IF(COUNTIF(INDIRECT($B$6&amp;"!r65"),"*Start Of FAL*"),"Start Of FAL",IF(COUNTIF(INDIRECT($B$6&amp;"!r65"),"*Mating*"),"Mating",""))))</f>
        <v/>
      </c>
    </row>
    <row r="30" spans="2:8" x14ac:dyDescent="0.25">
      <c r="B30" s="24" t="str">
        <f t="shared" ca="1" si="0"/>
        <v/>
      </c>
      <c r="C30" s="30" t="str">
        <f ca="1">LEFT(INDIRECT($B$6&amp;"!w65"),6)</f>
        <v/>
      </c>
      <c r="D30" s="15">
        <f ca="1">INDIRECT($B$6&amp;"!y67")</f>
        <v>0</v>
      </c>
      <c r="E30" s="27" t="str">
        <f ca="1">IF(COUNTIF(INDIRECT($B$6&amp;"!w65"),"*(CoC)*"),"CoC",IF(COUNTIF(INDIRECT($B$6&amp;"!w65"),"*Flight Line Entry*"),"Flight Line Entry",IF(COUNTIF(INDIRECT($B$6&amp;"!w65"),"*Start Of FAL*"),"Start Of FAL",IF(COUNTIF(INDIRECT($B$6&amp;"!w65"),"*Mating*"),"Mating",""))))</f>
        <v/>
      </c>
    </row>
    <row r="31" spans="2:8" x14ac:dyDescent="0.25">
      <c r="B31" s="24" t="str">
        <f t="shared" ca="1" si="0"/>
        <v/>
      </c>
      <c r="C31" s="30" t="str">
        <f ca="1">LEFT(INDIRECT($B$6&amp;"!ab65"),6)</f>
        <v/>
      </c>
      <c r="D31" s="15">
        <f ca="1">INDIRECT($B$6&amp;"!ad67")</f>
        <v>0</v>
      </c>
      <c r="E31" s="27" t="str">
        <f ca="1">IF(COUNTIF(INDIRECT($B$6&amp;"!ab65"),"*(CoC)*"),"CoC",IF(COUNTIF(INDIRECT($B$6&amp;"!ab65"),"*Flight Line Entry*"),"Flight Line Entry",IF(COUNTIF(INDIRECT($B$6&amp;"!ab65"),"*Start Of FAL*"),"Start Of FAL",IF(COUNTIF(INDIRECT($B$6&amp;"!ab65"),"*Mating*"),"Mating",""))))</f>
        <v/>
      </c>
    </row>
    <row r="32" spans="2:8" x14ac:dyDescent="0.25">
      <c r="B32" s="24" t="str">
        <f t="shared" ca="1" si="0"/>
        <v/>
      </c>
      <c r="C32" s="30" t="str">
        <f ca="1">LEFT(INDIRECT($B$6&amp;"!ag65"),6)</f>
        <v/>
      </c>
      <c r="D32" s="15">
        <f ca="1">INDIRECT($B$6&amp;"!ai67")</f>
        <v>0</v>
      </c>
      <c r="E32" s="27" t="str">
        <f ca="1">IF(COUNTIF(INDIRECT($B$6&amp;"!ag65"),"*(CoC)*"),"CoC",IF(COUNTIF(INDIRECT($B$6&amp;"!ag65"),"*Flight Line Entry*"),"Flight Line Entry",IF(COUNTIF(INDIRECT($B$6&amp;"!ag65"),"*Start Of FAL*"),"Start Of FAL",IF(COUNTIF(INDIRECT($B$6&amp;"!ag65"),"*Mating*"),"Mating",""))))</f>
        <v/>
      </c>
    </row>
    <row r="33" spans="2:5" x14ac:dyDescent="0.25">
      <c r="B33" s="24" t="str">
        <f t="shared" ca="1" si="0"/>
        <v/>
      </c>
      <c r="C33" s="30" t="str">
        <f ca="1">LEFT(INDIRECT($B$6&amp;"!al65"),6)</f>
        <v/>
      </c>
      <c r="D33" s="15">
        <f ca="1">INDIRECT($B$6&amp;"!an67")</f>
        <v>0</v>
      </c>
      <c r="E33" s="27" t="str">
        <f ca="1">IF(COUNTIF(INDIRECT($B$6&amp;"!al65"),"*(CoC)*"),"CoC",IF(COUNTIF(INDIRECT($B$6&amp;"!al65"),"*Flight Line Entry*"),"Flight Line Entry",IF(COUNTIF(INDIRECT($B$6&amp;"!al65"),"*Start Of FAL*"),"Start Of FAL",IF(COUNTIF(INDIRECT($B$6&amp;"!al65"),"*Mating*"),"Mating",""))))</f>
        <v/>
      </c>
    </row>
    <row r="34" spans="2:5" x14ac:dyDescent="0.25">
      <c r="B34" s="24" t="str">
        <f t="shared" ca="1" si="0"/>
        <v/>
      </c>
      <c r="C34" s="30" t="str">
        <f ca="1">LEFT(INDIRECT($B$6&amp;"!aq65"),6)</f>
        <v/>
      </c>
      <c r="D34" s="15">
        <f ca="1">INDIRECT($B$6&amp;"!as67")</f>
        <v>0</v>
      </c>
      <c r="E34" s="27" t="str">
        <f ca="1">IF(COUNTIF(INDIRECT($B$6&amp;"!aq65"),"*(CoC)*"),"CoC",IF(COUNTIF(INDIRECT($B$6&amp;"!aq65"),"*Flight Line Entry*"),"Flight Line Entry",IF(COUNTIF(INDIRECT($B$6&amp;"!aq65"),"*Start Of FAL*"),"Start Of FAL",IF(COUNTIF(INDIRECT($B$6&amp;"!aq65"),"*Mating*"),"Mating",""))))</f>
        <v/>
      </c>
    </row>
    <row r="35" spans="2:5" x14ac:dyDescent="0.25">
      <c r="B35" s="24" t="str">
        <f t="shared" ca="1" si="0"/>
        <v/>
      </c>
      <c r="C35" s="30" t="str">
        <f ca="1">LEFT(INDIRECT($B$6&amp;"!av65"),6)</f>
        <v/>
      </c>
      <c r="D35" s="15">
        <f ca="1">INDIRECT($B$6&amp;"!ax67")</f>
        <v>0</v>
      </c>
      <c r="E35" s="27" t="str">
        <f ca="1">IF(COUNTIF(INDIRECT($B$6&amp;"!av65"),"*(CoC)*"),"CoC",IF(COUNTIF(INDIRECT($B$6&amp;"!av65"),"*Flight Line Entry*"),"Flight Line Entry",IF(COUNTIF(INDIRECT($B$6&amp;"!av65"),"*Start Of FAL*"),"Start Of FAL",IF(COUNTIF(INDIRECT($B$6&amp;"!av65"),"*Mating*"),"Mating",""))))</f>
        <v/>
      </c>
    </row>
    <row r="36" spans="2:5" x14ac:dyDescent="0.25">
      <c r="B36" s="24" t="str">
        <f t="shared" ca="1" si="0"/>
        <v/>
      </c>
      <c r="C36" s="30" t="str">
        <f ca="1">LEFT(INDIRECT($B$6&amp;"!ba65"),6)</f>
        <v/>
      </c>
      <c r="D36" s="15">
        <f ca="1">INDIRECT($B$6&amp;"!bc67")</f>
        <v>0</v>
      </c>
      <c r="E36" s="27" t="str">
        <f ca="1">IF(COUNTIF(INDIRECT($B$6&amp;"!ba65"),"*(CoC)*"),"CoC",IF(COUNTIF(INDIRECT($B$6&amp;"!ba65"),"*Flight Line Entry*"),"Flight Line Entry",IF(COUNTIF(INDIRECT($B$6&amp;"!ba65"),"*Start Of FAL*"),"Start Of FAL",IF(COUNTIF(INDIRECT($B$6&amp;"!ba65"),"*Mating*"),"Mating",""))))</f>
        <v/>
      </c>
    </row>
    <row r="37" spans="2:5" x14ac:dyDescent="0.25">
      <c r="B37" s="24" t="str">
        <f t="shared" ca="1" si="0"/>
        <v/>
      </c>
      <c r="C37" s="30" t="str">
        <f ca="1">LEFT(INDIRECT($B$6&amp;"!bf65"),6)</f>
        <v/>
      </c>
      <c r="D37" s="15">
        <f ca="1">INDIRECT($B$6&amp;"!bh67")</f>
        <v>0</v>
      </c>
      <c r="E37" s="27" t="str">
        <f ca="1">IF(COUNTIF(INDIRECT($B$6&amp;"!bf65"),"*(CoC)*"),"CoC",IF(COUNTIF(INDIRECT($B$6&amp;"!bf65"),"*Flight Line Entry*"),"Flight Line Entry",IF(COUNTIF(INDIRECT($B$6&amp;"!bf65"),"*Start Of FAL*"),"Start Of FAL",IF(COUNTIF(INDIRECT($B$6&amp;"!bf65"),"*Mating*"),"Mating",""))))</f>
        <v/>
      </c>
    </row>
    <row r="38" spans="2:5" x14ac:dyDescent="0.25">
      <c r="B38" s="24" t="str">
        <f t="shared" ca="1" si="0"/>
        <v/>
      </c>
      <c r="C38" s="30" t="str">
        <f ca="1">LEFT(INDIRECT($B$6&amp;"!bk65"),6)</f>
        <v/>
      </c>
      <c r="D38" s="15">
        <f ca="1">INDIRECT($B$6&amp;"!bm67")</f>
        <v>0</v>
      </c>
      <c r="E38" s="27" t="str">
        <f ca="1">IF(COUNTIF(INDIRECT($B$6&amp;"!bk65"),"*(CoC)*"),"CoC",IF(COUNTIF(INDIRECT($B$6&amp;"!bk65"),"*Flight Line Entry*"),"Flight Line Entry",IF(COUNTIF(INDIRECT($B$6&amp;"!bk65"),"*Start Of FAL*"),"Start Of FAL",IF(COUNTIF(INDIRECT($B$6&amp;"!bk65"),"*Mating*"),"Mating",""))))</f>
        <v/>
      </c>
    </row>
    <row r="39" spans="2:5" x14ac:dyDescent="0.25">
      <c r="B39" s="24" t="str">
        <f t="shared" ref="B39:B70" ca="1" si="1">IF(C39&lt;&gt;"",$B$6,"")</f>
        <v/>
      </c>
      <c r="C39" s="30" t="str">
        <f ca="1">LEFT(INDIRECT($B$6&amp;"!bp65"),6)</f>
        <v/>
      </c>
      <c r="D39" s="15">
        <f ca="1">INDIRECT($B$6&amp;"!br67")</f>
        <v>0</v>
      </c>
      <c r="E39" s="27" t="str">
        <f ca="1">IF(COUNTIF(INDIRECT($B$6&amp;"!bp65"),"*(CoC)*"),"CoC",IF(COUNTIF(INDIRECT($B$6&amp;"!bp65"),"*Flight Line Entry*"),"Flight Line Entry",IF(COUNTIF(INDIRECT($B$6&amp;"!bp65"),"*Start Of FAL*"),"Start Of FAL",IF(COUNTIF(INDIRECT($B$6&amp;"!bp65"),"*Mating*"),"Mating",""))))</f>
        <v/>
      </c>
    </row>
    <row r="40" spans="2:5" x14ac:dyDescent="0.25">
      <c r="B40" s="24" t="str">
        <f t="shared" ca="1" si="1"/>
        <v/>
      </c>
      <c r="C40" s="30" t="str">
        <f ca="1">LEFT(INDIRECT($B$6&amp;"!bu65"),6)</f>
        <v/>
      </c>
      <c r="D40" s="15">
        <f ca="1">INDIRECT($B$6&amp;"!bw67")</f>
        <v>0</v>
      </c>
      <c r="E40" s="27" t="str">
        <f ca="1">IF(COUNTIF(INDIRECT($B$6&amp;"!bu65"),"*(CoC)*"),"CoC",IF(COUNTIF(INDIRECT($B$6&amp;"!bu65"),"*Flight Line Entry*"),"Flight Line Entry",IF(COUNTIF(INDIRECT($B$6&amp;"!bu65"),"*Start Of FAL*"),"Start Of FAL",IF(COUNTIF(INDIRECT($B$6&amp;"!bu65"),"*Mating*"),"Mating",""))))</f>
        <v/>
      </c>
    </row>
    <row r="41" spans="2:5" x14ac:dyDescent="0.25">
      <c r="B41" s="24" t="str">
        <f t="shared" ca="1" si="1"/>
        <v/>
      </c>
      <c r="C41" s="30" t="str">
        <f ca="1">LEFT(INDIRECT($B$6&amp;"!bz65"),6)</f>
        <v/>
      </c>
      <c r="D41" s="15">
        <f ca="1">INDIRECT($B$6&amp;"!cb67")</f>
        <v>0</v>
      </c>
      <c r="E41" s="27" t="str">
        <f ca="1">IF(COUNTIF(INDIRECT($B$6&amp;"!bz65"),"*(CoC)*"),"CoC",IF(COUNTIF(INDIRECT($B$6&amp;"!bz65"),"*Flight Line Entry*"),"Flight Line Entry",IF(COUNTIF(INDIRECT($B$6&amp;"!bz65"),"*Start Of FAL*"),"Start Of FAL",IF(COUNTIF(INDIRECT($B$6&amp;"!bz65"),"*Mating*"),"Mating",""))))</f>
        <v/>
      </c>
    </row>
    <row r="42" spans="2:5" x14ac:dyDescent="0.25">
      <c r="B42" s="24" t="str">
        <f t="shared" ca="1" si="1"/>
        <v/>
      </c>
      <c r="C42" s="30" t="str">
        <f ca="1">LEFT(INDIRECT($B$6&amp;"!ce65"),6)</f>
        <v/>
      </c>
      <c r="D42" s="15">
        <f ca="1">INDIRECT($B$6&amp;"!cg67")</f>
        <v>0</v>
      </c>
      <c r="E42" s="27" t="str">
        <f ca="1">IF(COUNTIF(INDIRECT($B$6&amp;"!ce65"),"*(CoC)*"),"CoC",IF(COUNTIF(INDIRECT($B$6&amp;"!ce65"),"*Flight Line Entry*"),"Flight Line Entry",IF(COUNTIF(INDIRECT($B$6&amp;"!ce65"),"*Start Of FAL*"),"Start Of FAL",IF(COUNTIF(INDIRECT($B$6&amp;"!ce65"),"*Mating*"),"Mating",""))))</f>
        <v/>
      </c>
    </row>
    <row r="43" spans="2:5" x14ac:dyDescent="0.25">
      <c r="B43" s="24" t="str">
        <f t="shared" ca="1" si="1"/>
        <v/>
      </c>
      <c r="C43" s="30" t="str">
        <f ca="1">LEFT(INDIRECT($B$6&amp;"!cj65"),6)</f>
        <v/>
      </c>
      <c r="D43" s="15">
        <f ca="1">INDIRECT($B$6&amp;"!cl67")</f>
        <v>0</v>
      </c>
      <c r="E43" s="27" t="str">
        <f ca="1">IF(COUNTIF(INDIRECT($B$6&amp;"!cj65"),"*(CoC)*"),"CoC",IF(COUNTIF(INDIRECT($B$6&amp;"!cj65"),"*Flight Line Entry*"),"Flight Line Entry",IF(COUNTIF(INDIRECT($B$6&amp;"!cj65"),"*Start Of FAL*"),"Start Of FAL",IF(COUNTIF(INDIRECT($B$6&amp;"!cj65"),"*Mating*"),"Mating",""))))</f>
        <v/>
      </c>
    </row>
    <row r="44" spans="2:5" x14ac:dyDescent="0.25">
      <c r="B44" s="24" t="str">
        <f t="shared" ca="1" si="1"/>
        <v/>
      </c>
      <c r="C44" s="30" t="str">
        <f ca="1">LEFT(INDIRECT($B$6&amp;"!co65"),6)</f>
        <v/>
      </c>
      <c r="D44" s="15">
        <f ca="1">INDIRECT($B$6&amp;"!cq67")</f>
        <v>0</v>
      </c>
      <c r="E44" s="27" t="str">
        <f ca="1">IF(COUNTIF(INDIRECT($B$6&amp;"!co65"),"*(CoC)*"),"CoC",IF(COUNTIF(INDIRECT($B$6&amp;"!co65"),"*Flight Line Entry*"),"Flight Line Entry",IF(COUNTIF(INDIRECT($B$6&amp;"!co65"),"*Start Of FAL*"),"Start Of FAL",IF(COUNTIF(INDIRECT($B$6&amp;"!co65"),"*Mating*"),"Mating",""))))</f>
        <v/>
      </c>
    </row>
    <row r="45" spans="2:5" x14ac:dyDescent="0.25">
      <c r="B45" s="24" t="str">
        <f t="shared" ca="1" si="1"/>
        <v/>
      </c>
      <c r="C45" s="30" t="str">
        <f ca="1">LEFT(INDIRECT($B$6&amp;"!ct65"),6)</f>
        <v/>
      </c>
      <c r="D45" s="15">
        <f ca="1">INDIRECT($B$6&amp;"!cv67")</f>
        <v>0</v>
      </c>
      <c r="E45" s="27" t="str">
        <f ca="1">IF(COUNTIF(INDIRECT($B$6&amp;"!ct65"),"*(CoC)*"),"CoC",IF(COUNTIF(INDIRECT($B$6&amp;"!ct65"),"*Flight Line Entry*"),"Flight Line Entry",IF(COUNTIF(INDIRECT($B$6&amp;"!ct65"),"*Start Of FAL*"),"Start Of FAL",IF(COUNTIF(INDIRECT($B$6&amp;"!ct65"),"*Mating*"),"Mating",""))))</f>
        <v/>
      </c>
    </row>
    <row r="46" spans="2:5" x14ac:dyDescent="0.25">
      <c r="B46" s="24" t="str">
        <f t="shared" ca="1" si="1"/>
        <v>Dolphin4POF</v>
      </c>
      <c r="C46" s="30" t="str">
        <f ca="1">LEFT(INDIRECT($B$6&amp;"!c122"),6)</f>
        <v>929564</v>
      </c>
      <c r="D46" s="15">
        <f ca="1">INDIRECT($B$6&amp;"!e124")</f>
        <v>58014.649999999994</v>
      </c>
      <c r="E46" s="27" t="str">
        <f ca="1">IF(COUNTIF(INDIRECT($B$6&amp;"!c122"),"*(CoC)*"),"CoC",IF(COUNTIF(INDIRECT($B$6&amp;"!c122"),"*Flight Line Entry*"),"Flight Line Entry",IF(COUNTIF(INDIRECT($B$6&amp;"!c122"),"*Start Of FAL*"),"Start Of FAL",IF(COUNTIF(INDIRECT($B$6&amp;"!c122"),"*Mating*"),"Mating",""))))</f>
        <v/>
      </c>
    </row>
    <row r="47" spans="2:5" x14ac:dyDescent="0.25">
      <c r="B47" s="24" t="str">
        <f t="shared" ca="1" si="1"/>
        <v/>
      </c>
      <c r="C47" s="30" t="str">
        <f ca="1">LEFT(INDIRECT($B$6&amp;"!h122"),6)</f>
        <v/>
      </c>
      <c r="D47" s="15">
        <f ca="1">INDIRECT($B$6&amp;"!j124")</f>
        <v>0</v>
      </c>
      <c r="E47" s="27" t="str">
        <f ca="1">IF(COUNTIF(INDIRECT($B$6&amp;"!h122"),"*(CoC)*"),"CoC",IF(COUNTIF(INDIRECT($B$6&amp;"!h122"),"*Flight Line Entry*"),"Flight Line Entry",IF(COUNTIF(INDIRECT($B$6&amp;"!h122"),"*Start Of FAL*"),"Start Of FAL",IF(COUNTIF(INDIRECT($B$6&amp;"!h122"),"*Mating*"),"Mating",""))))</f>
        <v/>
      </c>
    </row>
    <row r="48" spans="2:5" x14ac:dyDescent="0.25">
      <c r="B48" s="24" t="str">
        <f t="shared" ca="1" si="1"/>
        <v/>
      </c>
      <c r="C48" s="30" t="str">
        <f ca="1">LEFT(INDIRECT($B$6&amp;"!m122"),6)</f>
        <v/>
      </c>
      <c r="D48" s="15">
        <f ca="1">INDIRECT($B$6&amp;"!o124")</f>
        <v>0</v>
      </c>
      <c r="E48" s="27" t="str">
        <f ca="1">IF(COUNTIF(INDIRECT($B$6&amp;"!m122"),"*(CoC)*"),"CoC",IF(COUNTIF(INDIRECT($B$6&amp;"!m122"),"*Flight Line Entry*"),"Flight Line Entry",IF(COUNTIF(INDIRECT($B$6&amp;"!m122"),"*Start Of FAL*"),"Start Of FAL",IF(COUNTIF(INDIRECT($B$6&amp;"!m122"),"*Mating*"),"Mating",""))))</f>
        <v/>
      </c>
    </row>
    <row r="49" spans="2:5" x14ac:dyDescent="0.25">
      <c r="B49" s="24" t="str">
        <f t="shared" ca="1" si="1"/>
        <v/>
      </c>
      <c r="C49" s="30" t="str">
        <f ca="1">LEFT(INDIRECT($B$6&amp;"!r122"),6)</f>
        <v/>
      </c>
      <c r="D49" s="15">
        <f ca="1">INDIRECT($B$6&amp;"!t124")</f>
        <v>0</v>
      </c>
      <c r="E49" s="27" t="str">
        <f ca="1">IF(COUNTIF(INDIRECT($B$6&amp;"!r122"),"*(CoC)*"),"CoC",IF(COUNTIF(INDIRECT($B$6&amp;"!r122"),"*Flight Line Entry*"),"Flight Line Entry",IF(COUNTIF(INDIRECT($B$6&amp;"!r122"),"*Start Of FAL*"),"Start Of FAL",IF(COUNTIF(INDIRECT($B$6&amp;"!r122"),"*Mating*"),"Mating",""))))</f>
        <v/>
      </c>
    </row>
    <row r="50" spans="2:5" x14ac:dyDescent="0.25">
      <c r="B50" s="24" t="str">
        <f t="shared" ca="1" si="1"/>
        <v/>
      </c>
      <c r="C50" s="30" t="str">
        <f ca="1">LEFT(INDIRECT($B$6&amp;"!w122"),6)</f>
        <v/>
      </c>
      <c r="D50" s="15">
        <f ca="1">INDIRECT($B$6&amp;"!y124")</f>
        <v>0</v>
      </c>
      <c r="E50" s="27" t="str">
        <f ca="1">IF(COUNTIF(INDIRECT($B$6&amp;"!w122"),"*(CoC)*"),"CoC",IF(COUNTIF(INDIRECT($B$6&amp;"!w122"),"*Flight Line Entry*"),"Flight Line Entry",IF(COUNTIF(INDIRECT($B$6&amp;"!w122"),"*Start Of FAL*"),"Start Of FAL",IF(COUNTIF(INDIRECT($B$6&amp;"!w122"),"*Mating*"),"Mating",""))))</f>
        <v/>
      </c>
    </row>
    <row r="51" spans="2:5" x14ac:dyDescent="0.25">
      <c r="B51" s="24" t="str">
        <f t="shared" ca="1" si="1"/>
        <v/>
      </c>
      <c r="C51" s="30" t="str">
        <f ca="1">LEFT(INDIRECT($B$6&amp;"!ab122"),6)</f>
        <v/>
      </c>
      <c r="D51" s="15">
        <f ca="1">INDIRECT($B$6&amp;"!ad124")</f>
        <v>0</v>
      </c>
      <c r="E51" s="27" t="str">
        <f ca="1">IF(COUNTIF(INDIRECT($B$6&amp;"!ab122"),"*(CoC)*"),"CoC",IF(COUNTIF(INDIRECT($B$6&amp;"!ab122"),"*Flight Line Entry*"),"Flight Line Entry",IF(COUNTIF(INDIRECT($B$6&amp;"!ab122"),"*Start Of FAL*"),"Start Of FAL",IF(COUNTIF(INDIRECT($B$6&amp;"!ab122"),"*Mating*"),"Mating",""))))</f>
        <v/>
      </c>
    </row>
    <row r="52" spans="2:5" x14ac:dyDescent="0.25">
      <c r="B52" s="24" t="str">
        <f t="shared" ca="1" si="1"/>
        <v/>
      </c>
      <c r="C52" s="30" t="str">
        <f ca="1">LEFT(INDIRECT($B$6&amp;"!ag122"),6)</f>
        <v/>
      </c>
      <c r="D52" s="15">
        <f ca="1">INDIRECT($B$6&amp;"!ai124")</f>
        <v>0</v>
      </c>
      <c r="E52" s="27" t="str">
        <f ca="1">IF(COUNTIF(INDIRECT($B$6&amp;"!ag122"),"*(CoC)*"),"CoC",IF(COUNTIF(INDIRECT($B$6&amp;"!ag122"),"*Flight Line Entry*"),"Flight Line Entry",IF(COUNTIF(INDIRECT($B$6&amp;"!ag122"),"*Start Of FAL*"),"Start Of FAL",IF(COUNTIF(INDIRECT($B$6&amp;"!ag122"),"*Mating*"),"Mating",""))))</f>
        <v/>
      </c>
    </row>
    <row r="53" spans="2:5" x14ac:dyDescent="0.25">
      <c r="B53" s="24" t="str">
        <f t="shared" ca="1" si="1"/>
        <v/>
      </c>
      <c r="C53" s="30" t="str">
        <f ca="1">LEFT(INDIRECT($B$6&amp;"!al122"),6)</f>
        <v/>
      </c>
      <c r="D53" s="15">
        <f ca="1">INDIRECT($B$6&amp;"!an124")</f>
        <v>0</v>
      </c>
      <c r="E53" s="27" t="str">
        <f ca="1">IF(COUNTIF(INDIRECT($B$6&amp;"!al122"),"*(CoC)*"),"CoC",IF(COUNTIF(INDIRECT($B$6&amp;"!al122"),"*Flight Line Entry*"),"Flight Line Entry",IF(COUNTIF(INDIRECT($B$6&amp;"!al122"),"*Start Of FAL*"),"Start Of FAL",IF(COUNTIF(INDIRECT($B$6&amp;"!al122"),"*Mating*"),"Mating",""))))</f>
        <v/>
      </c>
    </row>
    <row r="54" spans="2:5" x14ac:dyDescent="0.25">
      <c r="B54" s="24" t="str">
        <f t="shared" ca="1" si="1"/>
        <v/>
      </c>
      <c r="C54" s="30" t="str">
        <f ca="1">LEFT(INDIRECT($B$6&amp;"!aq122"),6)</f>
        <v/>
      </c>
      <c r="D54" s="15">
        <f ca="1">INDIRECT($B$6&amp;"!as124")</f>
        <v>0</v>
      </c>
      <c r="E54" s="27" t="str">
        <f ca="1">IF(COUNTIF(INDIRECT($B$6&amp;"!aq122"),"*(CoC)*"),"CoC",IF(COUNTIF(INDIRECT($B$6&amp;"!aq122"),"*Flight Line Entry*"),"Flight Line Entry",IF(COUNTIF(INDIRECT($B$6&amp;"!aq122"),"*Start Of FAL*"),"Start Of FAL",IF(COUNTIF(INDIRECT($B$6&amp;"!aq122"),"*Mating*"),"Mating",""))))</f>
        <v/>
      </c>
    </row>
    <row r="55" spans="2:5" x14ac:dyDescent="0.25">
      <c r="B55" s="24" t="str">
        <f t="shared" ca="1" si="1"/>
        <v/>
      </c>
      <c r="C55" s="30" t="str">
        <f ca="1">LEFT(INDIRECT($B$6&amp;"!av122"),6)</f>
        <v/>
      </c>
      <c r="D55" s="15">
        <f ca="1">INDIRECT($B$6&amp;"!ax124")</f>
        <v>0</v>
      </c>
      <c r="E55" s="27" t="str">
        <f ca="1">IF(COUNTIF(INDIRECT($B$6&amp;"!av122"),"*(CoC)*"),"CoC",IF(COUNTIF(INDIRECT($B$6&amp;"!av122"),"*Flight Line Entry*"),"Flight Line Entry",IF(COUNTIF(INDIRECT($B$6&amp;"!av122"),"*Start Of FAL*"),"Start Of FAL",IF(COUNTIF(INDIRECT($B$6&amp;"!av122"),"*Mating*"),"Mating",""))))</f>
        <v/>
      </c>
    </row>
    <row r="56" spans="2:5" x14ac:dyDescent="0.25">
      <c r="B56" s="24" t="str">
        <f t="shared" ca="1" si="1"/>
        <v/>
      </c>
      <c r="C56" s="30" t="str">
        <f ca="1">LEFT(INDIRECT($B$6&amp;"!ba122"),6)</f>
        <v/>
      </c>
      <c r="D56" s="15">
        <f ca="1">INDIRECT($B$6&amp;"!bc124")</f>
        <v>0</v>
      </c>
      <c r="E56" s="27" t="str">
        <f ca="1">IF(COUNTIF(INDIRECT($B$6&amp;"!ba122"),"*(CoC)*"),"CoC",IF(COUNTIF(INDIRECT($B$6&amp;"!ba122"),"*Flight Line Entry*"),"Flight Line Entry",IF(COUNTIF(INDIRECT($B$6&amp;"!ba122"),"*Start Of FAL*"),"Start Of FAL",IF(COUNTIF(INDIRECT($B$6&amp;"!ba122"),"*Mating*"),"Mating",""))))</f>
        <v/>
      </c>
    </row>
    <row r="57" spans="2:5" x14ac:dyDescent="0.25">
      <c r="B57" s="24" t="str">
        <f t="shared" ca="1" si="1"/>
        <v/>
      </c>
      <c r="C57" s="30" t="str">
        <f ca="1">LEFT(INDIRECT($B$6&amp;"!bf122"),6)</f>
        <v/>
      </c>
      <c r="D57" s="15">
        <f ca="1">INDIRECT($B$6&amp;"!bh124")</f>
        <v>0</v>
      </c>
      <c r="E57" s="27" t="str">
        <f ca="1">IF(COUNTIF(INDIRECT($B$6&amp;"!bf122"),"*(CoC)*"),"CoC",IF(COUNTIF(INDIRECT($B$6&amp;"!bf122"),"*Flight Line Entry*"),"Flight Line Entry",IF(COUNTIF(INDIRECT($B$6&amp;"!bf122"),"*Start Of FAL*"),"Start Of FAL",IF(COUNTIF(INDIRECT($B$6&amp;"!bf122"),"*Mating*"),"Mating",""))))</f>
        <v/>
      </c>
    </row>
    <row r="58" spans="2:5" x14ac:dyDescent="0.25">
      <c r="B58" s="24" t="str">
        <f t="shared" ca="1" si="1"/>
        <v/>
      </c>
      <c r="C58" s="30" t="str">
        <f ca="1">LEFT(INDIRECT($B$6&amp;"!bk122"),6)</f>
        <v/>
      </c>
      <c r="D58" s="15">
        <f ca="1">INDIRECT($B$6&amp;"!bm124")</f>
        <v>0</v>
      </c>
      <c r="E58" s="27" t="str">
        <f ca="1">IF(COUNTIF(INDIRECT($B$6&amp;"!bk122"),"*(CoC)*"),"CoC",IF(COUNTIF(INDIRECT($B$6&amp;"!bk122"),"*Flight Line Entry*"),"Flight Line Entry",IF(COUNTIF(INDIRECT($B$6&amp;"!bk122"),"*Start Of FAL*"),"Start Of FAL",IF(COUNTIF(INDIRECT($B$6&amp;"!bk122"),"*Mating*"),"Mating",""))))</f>
        <v/>
      </c>
    </row>
    <row r="59" spans="2:5" x14ac:dyDescent="0.25">
      <c r="B59" s="24" t="str">
        <f t="shared" ca="1" si="1"/>
        <v/>
      </c>
      <c r="C59" s="30" t="str">
        <f ca="1">LEFT(INDIRECT($B$6&amp;"!bp122"),6)</f>
        <v/>
      </c>
      <c r="D59" s="15">
        <f ca="1">INDIRECT($B$6&amp;"!br124")</f>
        <v>0</v>
      </c>
      <c r="E59" s="27" t="str">
        <f ca="1">IF(COUNTIF(INDIRECT($B$6&amp;"!bp122"),"*(CoC)*"),"CoC",IF(COUNTIF(INDIRECT($B$6&amp;"!bp122"),"*Flight Line Entry*"),"Flight Line Entry",IF(COUNTIF(INDIRECT($B$6&amp;"!bp122"),"*Start Of FAL*"),"Start Of FAL",IF(COUNTIF(INDIRECT($B$6&amp;"!bp122"),"*Mating*"),"Mating",""))))</f>
        <v/>
      </c>
    </row>
    <row r="60" spans="2:5" x14ac:dyDescent="0.25">
      <c r="B60" s="24" t="str">
        <f t="shared" ca="1" si="1"/>
        <v/>
      </c>
      <c r="C60" s="30" t="str">
        <f ca="1">LEFT(INDIRECT($B$6&amp;"!bu122"),6)</f>
        <v/>
      </c>
      <c r="D60" s="15">
        <f ca="1">INDIRECT($B$6&amp;"!bw124")</f>
        <v>0</v>
      </c>
      <c r="E60" s="27" t="str">
        <f ca="1">IF(COUNTIF(INDIRECT($B$6&amp;"!bu122"),"*(CoC)*"),"CoC",IF(COUNTIF(INDIRECT($B$6&amp;"!bu122"),"*Flight Line Entry*"),"Flight Line Entry",IF(COUNTIF(INDIRECT($B$6&amp;"!bu122"),"*Start Of FAL*"),"Start Of FAL",IF(COUNTIF(INDIRECT($B$6&amp;"!bu122"),"*Mating*"),"Mating",""))))</f>
        <v/>
      </c>
    </row>
    <row r="61" spans="2:5" x14ac:dyDescent="0.25">
      <c r="B61" s="24" t="str">
        <f t="shared" ca="1" si="1"/>
        <v/>
      </c>
      <c r="C61" s="30" t="str">
        <f ca="1">LEFT(INDIRECT($B$6&amp;"!bz122"),6)</f>
        <v/>
      </c>
      <c r="D61" s="15">
        <f ca="1">INDIRECT($B$6&amp;"!cb124")</f>
        <v>0</v>
      </c>
      <c r="E61" s="27" t="str">
        <f ca="1">IF(COUNTIF(INDIRECT($B$6&amp;"!bz122"),"*(CoC)*"),"CoC",IF(COUNTIF(INDIRECT($B$6&amp;"!bz122"),"*Flight Line Entry*"),"Flight Line Entry",IF(COUNTIF(INDIRECT($B$6&amp;"!bz122"),"*Start Of FAL*"),"Start Of FAL",IF(COUNTIF(INDIRECT($B$6&amp;"!bz122"),"*Mating*"),"Mating",""))))</f>
        <v/>
      </c>
    </row>
    <row r="62" spans="2:5" x14ac:dyDescent="0.25">
      <c r="B62" s="24" t="str">
        <f t="shared" ca="1" si="1"/>
        <v/>
      </c>
      <c r="C62" s="30" t="str">
        <f ca="1">LEFT(INDIRECT($B$6&amp;"!ce122"),6)</f>
        <v/>
      </c>
      <c r="D62" s="15">
        <f ca="1">INDIRECT($B$6&amp;"!cg124")</f>
        <v>0</v>
      </c>
      <c r="E62" s="27" t="str">
        <f ca="1">IF(COUNTIF(INDIRECT($B$6&amp;"!ce122"),"*(CoC)*"),"CoC",IF(COUNTIF(INDIRECT($B$6&amp;"!ce122"),"*Flight Line Entry*"),"Flight Line Entry",IF(COUNTIF(INDIRECT($B$6&amp;"!ce122"),"*Start Of FAL*"),"Start Of FAL",IF(COUNTIF(INDIRECT($B$6&amp;"!ce122"),"*Mating*"),"Mating",""))))</f>
        <v/>
      </c>
    </row>
    <row r="63" spans="2:5" x14ac:dyDescent="0.25">
      <c r="B63" s="24" t="str">
        <f t="shared" ca="1" si="1"/>
        <v/>
      </c>
      <c r="C63" s="30" t="str">
        <f ca="1">LEFT(INDIRECT($B$6&amp;"!cj122"),6)</f>
        <v/>
      </c>
      <c r="D63" s="15">
        <f ca="1">INDIRECT($B$6&amp;"!cl124")</f>
        <v>0</v>
      </c>
      <c r="E63" s="27" t="str">
        <f ca="1">IF(COUNTIF(INDIRECT($B$6&amp;"!cj122"),"*(CoC)*"),"CoC",IF(COUNTIF(INDIRECT($B$6&amp;"!cj122"),"*Flight Line Entry*"),"Flight Line Entry",IF(COUNTIF(INDIRECT($B$6&amp;"!cj122"),"*Start Of FAL*"),"Start Of FAL",IF(COUNTIF(INDIRECT($B$6&amp;"!cj122"),"*Mating*"),"Mating",""))))</f>
        <v/>
      </c>
    </row>
    <row r="64" spans="2:5" x14ac:dyDescent="0.25">
      <c r="B64" s="24" t="str">
        <f t="shared" ca="1" si="1"/>
        <v/>
      </c>
      <c r="C64" s="30" t="str">
        <f ca="1">LEFT(INDIRECT($B$6&amp;"!co122"),6)</f>
        <v/>
      </c>
      <c r="D64" s="15">
        <f ca="1">INDIRECT($B$6&amp;"!cq124")</f>
        <v>0</v>
      </c>
      <c r="E64" s="27" t="str">
        <f ca="1">IF(COUNTIF(INDIRECT($B$6&amp;"!co122"),"*(CoC)*"),"CoC",IF(COUNTIF(INDIRECT($B$6&amp;"!co122"),"*Flight Line Entry*"),"Flight Line Entry",IF(COUNTIF(INDIRECT($B$6&amp;"!co122"),"*Start Of FAL*"),"Start Of FAL",IF(COUNTIF(INDIRECT($B$6&amp;"!co122"),"*Mating*"),"Mating",""))))</f>
        <v/>
      </c>
    </row>
    <row r="65" spans="2:5" x14ac:dyDescent="0.25">
      <c r="B65" s="24" t="str">
        <f t="shared" ca="1" si="1"/>
        <v/>
      </c>
      <c r="C65" s="30" t="str">
        <f ca="1">LEFT(INDIRECT($B$6&amp;"!ct122"),6)</f>
        <v/>
      </c>
      <c r="D65" s="15">
        <f ca="1">INDIRECT($B$6&amp;"!cv124")</f>
        <v>0</v>
      </c>
      <c r="E65" s="27" t="str">
        <f ca="1">IF(COUNTIF(INDIRECT($B$6&amp;"!ct122"),"*(CoC)*"),"CoC",IF(COUNTIF(INDIRECT($B$6&amp;"!ct122"),"*Flight Line Entry*"),"Flight Line Entry",IF(COUNTIF(INDIRECT($B$6&amp;"!ct122"),"*Start Of FAL*"),"Start Of FAL",IF(COUNTIF(INDIRECT($B$6&amp;"!ct122"),"*Mating*"),"Mating",""))))</f>
        <v/>
      </c>
    </row>
    <row r="66" spans="2:5" x14ac:dyDescent="0.25">
      <c r="B66" s="24" t="str">
        <f t="shared" ca="1" si="1"/>
        <v/>
      </c>
      <c r="C66" s="30" t="str">
        <f ca="1">LEFT(INDIRECT($B$6&amp;"!c177"),6)</f>
        <v/>
      </c>
      <c r="D66" s="15">
        <f ca="1">INDIRECT($B$6&amp;"!e179")</f>
        <v>0</v>
      </c>
      <c r="E66" s="27" t="str">
        <f ca="1">IF(COUNTIF(INDIRECT($B$6&amp;"!c177"),"*(CoC)*"),"CoC",IF(COUNTIF(INDIRECT($B$6&amp;"!c177"),"*Flight Line Entry*"),"Flight Line Entry",IF(COUNTIF(INDIRECT($B$6&amp;"!c177"),"*Start Of FAL*"),"Start Of FAL",IF(COUNTIF(INDIRECT($B$6&amp;"!c177"),"*Mating*"),"Mating",""))))</f>
        <v/>
      </c>
    </row>
    <row r="67" spans="2:5" x14ac:dyDescent="0.25">
      <c r="B67" s="24" t="str">
        <f t="shared" ca="1" si="1"/>
        <v/>
      </c>
      <c r="C67" s="30" t="str">
        <f ca="1">LEFT(INDIRECT($B$6&amp;"!h177"),6)</f>
        <v/>
      </c>
      <c r="D67" s="15">
        <f ca="1">INDIRECT($B$6&amp;"!j179")</f>
        <v>0</v>
      </c>
      <c r="E67" s="27" t="str">
        <f ca="1">IF(COUNTIF(INDIRECT($B$6&amp;"!h177"),"*(CoC)*"),"CoC",IF(COUNTIF(INDIRECT($B$6&amp;"!h177"),"*Flight Line Entry*"),"Flight Line Entry",IF(COUNTIF(INDIRECT($B$6&amp;"!h177"),"*Start Of FAL*"),"Start Of FAL",IF(COUNTIF(INDIRECT($B$6&amp;"!h177"),"*Mating*"),"Mating",""))))</f>
        <v/>
      </c>
    </row>
    <row r="68" spans="2:5" x14ac:dyDescent="0.25">
      <c r="B68" s="24" t="str">
        <f t="shared" ca="1" si="1"/>
        <v/>
      </c>
      <c r="C68" s="30" t="str">
        <f ca="1">LEFT(INDIRECT($B$6&amp;"!m177"),6)</f>
        <v/>
      </c>
      <c r="D68" s="15">
        <f ca="1">INDIRECT($B$6&amp;"!o179")</f>
        <v>0</v>
      </c>
      <c r="E68" s="27" t="str">
        <f ca="1">IF(COUNTIF(INDIRECT($B$6&amp;"!m177"),"*(CoC)*"),"CoC",IF(COUNTIF(INDIRECT($B$6&amp;"!m177"),"*Flight Line Entry*"),"Flight Line Entry",IF(COUNTIF(INDIRECT($B$6&amp;"!m177"),"*Start Of FAL*"),"Start Of FAL",IF(COUNTIF(INDIRECT($B$6&amp;"!m177"),"*Mating*"),"Mating",""))))</f>
        <v/>
      </c>
    </row>
    <row r="69" spans="2:5" x14ac:dyDescent="0.25">
      <c r="B69" s="24" t="str">
        <f t="shared" ca="1" si="1"/>
        <v/>
      </c>
      <c r="C69" s="30" t="str">
        <f ca="1">LEFT(INDIRECT($B$6&amp;"!r177"),6)</f>
        <v/>
      </c>
      <c r="D69" s="15">
        <f ca="1">INDIRECT($B$6&amp;"!t179")</f>
        <v>0</v>
      </c>
      <c r="E69" s="27" t="str">
        <f ca="1">IF(COUNTIF(INDIRECT($B$6&amp;"!r177"),"*(CoC)*"),"CoC",IF(COUNTIF(INDIRECT($B$6&amp;"!r177"),"*Flight Line Entry*"),"Flight Line Entry",IF(COUNTIF(INDIRECT($B$6&amp;"!r177"),"*Start Of FAL*"),"Start Of FAL",IF(COUNTIF(INDIRECT($B$6&amp;"!r177"),"*Mating*"),"Mating",""))))</f>
        <v/>
      </c>
    </row>
    <row r="70" spans="2:5" x14ac:dyDescent="0.25">
      <c r="B70" s="24" t="str">
        <f t="shared" ca="1" si="1"/>
        <v/>
      </c>
      <c r="C70" s="30" t="str">
        <f ca="1">LEFT(INDIRECT($B$6&amp;"!w177"),6)</f>
        <v/>
      </c>
      <c r="D70" s="15">
        <f ca="1">INDIRECT($B$6&amp;"!y179")</f>
        <v>0</v>
      </c>
      <c r="E70" s="27" t="str">
        <f ca="1">IF(COUNTIF(INDIRECT($B$6&amp;"!w177"),"*(CoC)*"),"CoC",IF(COUNTIF(INDIRECT($B$6&amp;"!w177"),"*Flight Line Entry*"),"Flight Line Entry",IF(COUNTIF(INDIRECT($B$6&amp;"!w177"),"*Start Of FAL*"),"Start Of FAL",IF(COUNTIF(INDIRECT($B$6&amp;"!w177"),"*Mating*"),"Mating",""))))</f>
        <v/>
      </c>
    </row>
    <row r="71" spans="2:5" x14ac:dyDescent="0.25">
      <c r="B71" s="24" t="str">
        <f t="shared" ref="B71:B85" ca="1" si="2">IF(C71&lt;&gt;"",$B$6,"")</f>
        <v/>
      </c>
      <c r="C71" s="30" t="str">
        <f ca="1">LEFT(INDIRECT($B$6&amp;"!ab177"),6)</f>
        <v/>
      </c>
      <c r="D71" s="15">
        <f ca="1">INDIRECT($B$6&amp;"!ad179")</f>
        <v>0</v>
      </c>
      <c r="E71" s="27" t="str">
        <f ca="1">IF(COUNTIF(INDIRECT($B$6&amp;"!ab177"),"*(CoC)*"),"CoC",IF(COUNTIF(INDIRECT($B$6&amp;"!ab177"),"*Flight Line Entry*"),"Flight Line Entry",IF(COUNTIF(INDIRECT($B$6&amp;"!ab177"),"*Start Of FAL*"),"Start Of FAL",IF(COUNTIF(INDIRECT($B$6&amp;"!ab177"),"*Mating*"),"Mating",""))))</f>
        <v/>
      </c>
    </row>
    <row r="72" spans="2:5" x14ac:dyDescent="0.25">
      <c r="B72" s="24" t="str">
        <f t="shared" ca="1" si="2"/>
        <v/>
      </c>
      <c r="C72" s="30" t="str">
        <f ca="1">LEFT(INDIRECT($B$6&amp;"!ag177"),6)</f>
        <v/>
      </c>
      <c r="D72" s="15">
        <f ca="1">INDIRECT($B$6&amp;"!ai179")</f>
        <v>0</v>
      </c>
      <c r="E72" s="27" t="str">
        <f ca="1">IF(COUNTIF(INDIRECT($B$6&amp;"!ag177"),"*(CoC)*"),"CoC",IF(COUNTIF(INDIRECT($B$6&amp;"!ag177"),"*Flight Line Entry*"),"Flight Line Entry",IF(COUNTIF(INDIRECT($B$6&amp;"!ag177"),"*Start Of FAL*"),"Start Of FAL",IF(COUNTIF(INDIRECT($B$6&amp;"!ag177"),"*Mating*"),"Mating",""))))</f>
        <v/>
      </c>
    </row>
    <row r="73" spans="2:5" x14ac:dyDescent="0.25">
      <c r="B73" s="24" t="str">
        <f t="shared" ca="1" si="2"/>
        <v/>
      </c>
      <c r="C73" s="30" t="str">
        <f ca="1">LEFT(INDIRECT($B$6&amp;"!al177"),6)</f>
        <v/>
      </c>
      <c r="D73" s="15">
        <f ca="1">INDIRECT($B$6&amp;"!an179")</f>
        <v>0</v>
      </c>
      <c r="E73" s="27" t="str">
        <f ca="1">IF(COUNTIF(INDIRECT($B$6&amp;"!al177"),"*(CoC)*"),"CoC",IF(COUNTIF(INDIRECT($B$6&amp;"!al177"),"*Flight Line Entry*"),"Flight Line Entry",IF(COUNTIF(INDIRECT($B$6&amp;"!al177"),"*Start Of FAL*"),"Start Of FAL",IF(COUNTIF(INDIRECT($B$6&amp;"!al177"),"*Mating*"),"Mating",""))))</f>
        <v/>
      </c>
    </row>
    <row r="74" spans="2:5" x14ac:dyDescent="0.25">
      <c r="B74" s="24" t="str">
        <f t="shared" ca="1" si="2"/>
        <v/>
      </c>
      <c r="C74" s="30" t="str">
        <f ca="1">LEFT(INDIRECT($B$6&amp;"!aq177"),6)</f>
        <v/>
      </c>
      <c r="D74" s="15">
        <f ca="1">INDIRECT($B$6&amp;"!as179")</f>
        <v>0</v>
      </c>
      <c r="E74" s="27" t="str">
        <f ca="1">IF(COUNTIF(INDIRECT($B$6&amp;"!aq177"),"*(CoC)*"),"CoC",IF(COUNTIF(INDIRECT($B$6&amp;"!aq177"),"*Flight Line Entry*"),"Flight Line Entry",IF(COUNTIF(INDIRECT($B$6&amp;"!aq177"),"*Start Of FAL*"),"Start Of FAL",IF(COUNTIF(INDIRECT($B$6&amp;"!aq177"),"*Mating*"),"Mating",""))))</f>
        <v/>
      </c>
    </row>
    <row r="75" spans="2:5" x14ac:dyDescent="0.25">
      <c r="B75" s="24" t="str">
        <f t="shared" ca="1" si="2"/>
        <v/>
      </c>
      <c r="C75" s="30" t="str">
        <f ca="1">LEFT(INDIRECT($B$6&amp;"!av177"),6)</f>
        <v/>
      </c>
      <c r="D75" s="15">
        <f ca="1">INDIRECT($B$6&amp;"!ax179")</f>
        <v>0</v>
      </c>
      <c r="E75" s="27" t="str">
        <f ca="1">IF(COUNTIF(INDIRECT($B$6&amp;"!av177"),"*(CoC)*"),"CoC",IF(COUNTIF(INDIRECT($B$6&amp;"!av177"),"*Flight Line Entry*"),"Flight Line Entry",IF(COUNTIF(INDIRECT($B$6&amp;"!av177"),"*Start Of FAL*"),"Start Of FAL",IF(COUNTIF(INDIRECT($B$6&amp;"!av177"),"*Mating*"),"Mating",""))))</f>
        <v/>
      </c>
    </row>
    <row r="76" spans="2:5" x14ac:dyDescent="0.25">
      <c r="B76" s="24" t="str">
        <f t="shared" ca="1" si="2"/>
        <v/>
      </c>
      <c r="C76" s="30" t="str">
        <f ca="1">LEFT(INDIRECT($B$6&amp;"!ba177"),6)</f>
        <v/>
      </c>
      <c r="D76" s="15">
        <f ca="1">INDIRECT($B$6&amp;"!bc179")</f>
        <v>0</v>
      </c>
      <c r="E76" s="27" t="str">
        <f ca="1">IF(COUNTIF(INDIRECT($B$6&amp;"!ba177"),"*(CoC)*"),"CoC",IF(COUNTIF(INDIRECT($B$6&amp;"!ba177"),"*Flight Line Entry*"),"Flight Line Entry",IF(COUNTIF(INDIRECT($B$6&amp;"!ba177"),"*Start Of FAL*"),"Start Of FAL",IF(COUNTIF(INDIRECT($B$6&amp;"!ba177"),"*Mating*"),"Mating",""))))</f>
        <v/>
      </c>
    </row>
    <row r="77" spans="2:5" x14ac:dyDescent="0.25">
      <c r="B77" s="24" t="str">
        <f t="shared" ca="1" si="2"/>
        <v/>
      </c>
      <c r="C77" s="30" t="str">
        <f ca="1">LEFT(INDIRECT($B$6&amp;"!bf177"),6)</f>
        <v/>
      </c>
      <c r="D77" s="15">
        <f ca="1">INDIRECT($B$6&amp;"!bh179")</f>
        <v>0</v>
      </c>
      <c r="E77" s="27" t="str">
        <f ca="1">IF(COUNTIF(INDIRECT($B$6&amp;"!bf177"),"*(CoC)*"),"CoC",IF(COUNTIF(INDIRECT($B$6&amp;"!bf177"),"*Flight Line Entry*"),"Flight Line Entry",IF(COUNTIF(INDIRECT($B$6&amp;"!bf177"),"*Start Of FAL*"),"Start Of FAL",IF(COUNTIF(INDIRECT($B$6&amp;"!bf177"),"*Mating*"),"Mating",""))))</f>
        <v/>
      </c>
    </row>
    <row r="78" spans="2:5" x14ac:dyDescent="0.25">
      <c r="B78" s="24" t="str">
        <f t="shared" ca="1" si="2"/>
        <v/>
      </c>
      <c r="C78" s="30" t="str">
        <f ca="1">LEFT(INDIRECT($B$6&amp;"!bk177"),6)</f>
        <v/>
      </c>
      <c r="D78" s="15">
        <f ca="1">INDIRECT($B$6&amp;"!bm179")</f>
        <v>0</v>
      </c>
      <c r="E78" s="27" t="str">
        <f ca="1">IF(COUNTIF(INDIRECT($B$6&amp;"!bk177"),"*(CoC)*"),"CoC",IF(COUNTIF(INDIRECT($B$6&amp;"!bk177"),"*Flight Line Entry*"),"Flight Line Entry",IF(COUNTIF(INDIRECT($B$6&amp;"!bk177"),"*Start Of FAL*"),"Start Of FAL",IF(COUNTIF(INDIRECT($B$6&amp;"!bk177"),"*Mating*"),"Mating",""))))</f>
        <v/>
      </c>
    </row>
    <row r="79" spans="2:5" x14ac:dyDescent="0.25">
      <c r="B79" s="24" t="str">
        <f t="shared" ca="1" si="2"/>
        <v/>
      </c>
      <c r="C79" s="30" t="str">
        <f ca="1">LEFT(INDIRECT($B$6&amp;"!bp177"),6)</f>
        <v/>
      </c>
      <c r="D79" s="15">
        <f ca="1">INDIRECT($B$6&amp;"!br179")</f>
        <v>0</v>
      </c>
      <c r="E79" s="27" t="str">
        <f ca="1">IF(COUNTIF(INDIRECT($B$6&amp;"!bp177"),"*(CoC)*"),"CoC",IF(COUNTIF(INDIRECT($B$6&amp;"!bp177"),"*Flight Line Entry*"),"Flight Line Entry",IF(COUNTIF(INDIRECT($B$6&amp;"!bp177"),"*Start Of FAL*"),"Start Of FAL",IF(COUNTIF(INDIRECT($B$6&amp;"!bp177"),"*Mating*"),"Mating",""))))</f>
        <v/>
      </c>
    </row>
    <row r="80" spans="2:5" x14ac:dyDescent="0.25">
      <c r="B80" s="24" t="str">
        <f t="shared" ca="1" si="2"/>
        <v/>
      </c>
      <c r="C80" s="30" t="str">
        <f ca="1">LEFT(INDIRECT($B$6&amp;"!bu177"),6)</f>
        <v/>
      </c>
      <c r="D80" s="15">
        <f ca="1">INDIRECT($B$6&amp;"!bw179")</f>
        <v>0</v>
      </c>
      <c r="E80" s="27" t="str">
        <f ca="1">IF(COUNTIF(INDIRECT($B$6&amp;"!bu177"),"*(CoC)*"),"CoC",IF(COUNTIF(INDIRECT($B$6&amp;"!bu177"),"*Flight Line Entry*"),"Flight Line Entry",IF(COUNTIF(INDIRECT($B$6&amp;"!bu177"),"*Start Of FAL*"),"Start Of FAL",IF(COUNTIF(INDIRECT($B$6&amp;"!bu177"),"*Mating*"),"Mating",""))))</f>
        <v/>
      </c>
    </row>
    <row r="81" spans="2:5" x14ac:dyDescent="0.25">
      <c r="B81" s="24" t="str">
        <f t="shared" ca="1" si="2"/>
        <v/>
      </c>
      <c r="C81" s="30" t="str">
        <f ca="1">LEFT(INDIRECT($B$6&amp;"!bz177"),6)</f>
        <v/>
      </c>
      <c r="D81" s="15">
        <f ca="1">INDIRECT($B$6&amp;"!cb179")</f>
        <v>0</v>
      </c>
      <c r="E81" s="27" t="str">
        <f ca="1">IF(COUNTIF(INDIRECT($B$6&amp;"!bz177"),"*(CoC)*"),"CoC",IF(COUNTIF(INDIRECT($B$6&amp;"!bz177"),"*Flight Line Entry*"),"Flight Line Entry",IF(COUNTIF(INDIRECT($B$6&amp;"!bz177"),"*Start Of FAL*"),"Start Of FAL",IF(COUNTIF(INDIRECT($B$6&amp;"!bz177"),"*Mating*"),"Mating",""))))</f>
        <v/>
      </c>
    </row>
    <row r="82" spans="2:5" x14ac:dyDescent="0.25">
      <c r="B82" s="24" t="str">
        <f t="shared" ca="1" si="2"/>
        <v/>
      </c>
      <c r="C82" s="30" t="str">
        <f ca="1">LEFT(INDIRECT($B$6&amp;"!ce177"),6)</f>
        <v/>
      </c>
      <c r="D82" s="15">
        <f ca="1">INDIRECT($B$6&amp;"!cg179")</f>
        <v>0</v>
      </c>
      <c r="E82" s="27" t="str">
        <f ca="1">IF(COUNTIF(INDIRECT($B$6&amp;"!ce177"),"*(CoC)*"),"CoC",IF(COUNTIF(INDIRECT($B$6&amp;"!ce177"),"*Flight Line Entry*"),"Flight Line Entry",IF(COUNTIF(INDIRECT($B$6&amp;"!ce177"),"*Start Of FAL*"),"Start Of FAL",IF(COUNTIF(INDIRECT($B$6&amp;"!ce177"),"*Mating*"),"Mating",""))))</f>
        <v/>
      </c>
    </row>
    <row r="83" spans="2:5" x14ac:dyDescent="0.25">
      <c r="B83" s="24" t="str">
        <f t="shared" ca="1" si="2"/>
        <v/>
      </c>
      <c r="C83" s="30" t="str">
        <f ca="1">LEFT(INDIRECT($B$6&amp;"!cj177"),6)</f>
        <v/>
      </c>
      <c r="D83" s="15">
        <f ca="1">INDIRECT($B$6&amp;"!cl179")</f>
        <v>0</v>
      </c>
      <c r="E83" s="27" t="str">
        <f ca="1">IF(COUNTIF(INDIRECT($B$6&amp;"!cj177"),"*(CoC)*"),"CoC",IF(COUNTIF(INDIRECT($B$6&amp;"!cj177"),"*Flight Line Entry*"),"Flight Line Entry",IF(COUNTIF(INDIRECT($B$6&amp;"!cj177"),"*Start Of FAL*"),"Start Of FAL",IF(COUNTIF(INDIRECT($B$6&amp;"!cj177"),"*Mating*"),"Mating",""))))</f>
        <v/>
      </c>
    </row>
    <row r="84" spans="2:5" x14ac:dyDescent="0.25">
      <c r="B84" s="24" t="str">
        <f t="shared" ca="1" si="2"/>
        <v/>
      </c>
      <c r="C84" s="30" t="str">
        <f ca="1">LEFT(INDIRECT($B$6&amp;"!co177"),6)</f>
        <v/>
      </c>
      <c r="D84" s="15">
        <f ca="1">INDIRECT($B$6&amp;"!cq179")</f>
        <v>0</v>
      </c>
      <c r="E84" s="27" t="str">
        <f ca="1">IF(COUNTIF(INDIRECT($B$6&amp;"!co177"),"*(CoC)*"),"CoC",IF(COUNTIF(INDIRECT($B$6&amp;"!co177"),"*Flight Line Entry*"),"Flight Line Entry",IF(COUNTIF(INDIRECT($B$6&amp;"!co177"),"*Start Of FAL*"),"Start Of FAL",IF(COUNTIF(INDIRECT($B$6&amp;"!co177"),"*Mating*"),"Mating",""))))</f>
        <v/>
      </c>
    </row>
    <row r="85" spans="2:5" x14ac:dyDescent="0.25">
      <c r="B85" s="25" t="str">
        <f t="shared" ca="1" si="2"/>
        <v/>
      </c>
      <c r="C85" s="31" t="str">
        <f ca="1">LEFT(INDIRECT($B$6&amp;"!ct177"),6)</f>
        <v/>
      </c>
      <c r="D85" s="16">
        <f ca="1">INDIRECT($B$6&amp;"!cv179")</f>
        <v>0</v>
      </c>
      <c r="E85" s="28" t="str">
        <f ca="1">IF(COUNTIF(INDIRECT($B$6&amp;"!ct177"),"*(CoC)*"),"CoC",IF(COUNTIF(INDIRECT($B$6&amp;"!ct177"),"*Flight Line Entry*"),"Flight Line Entry",IF(COUNTIF(INDIRECT($B$6&amp;"!ct177"),"*Start Of FAL*"),"Start Of FAL",IF(COUNTIF(INDIRECT($B$6&amp;"!ct177"),"*Mating*"),"Mating",""))))</f>
        <v/>
      </c>
    </row>
    <row r="86" spans="2:5" x14ac:dyDescent="0.25">
      <c r="B86" s="19"/>
      <c r="C86" s="20"/>
      <c r="D86" s="19"/>
      <c r="E86" s="20"/>
    </row>
    <row r="87" spans="2:5" x14ac:dyDescent="0.25">
      <c r="B87" s="19"/>
      <c r="C87" s="20"/>
      <c r="D87" s="19"/>
      <c r="E87" s="20"/>
    </row>
    <row r="88" spans="2:5" x14ac:dyDescent="0.25">
      <c r="B88" s="19"/>
      <c r="C88" s="20"/>
      <c r="D88" s="19"/>
      <c r="E88" s="20"/>
    </row>
    <row r="89" spans="2:5" x14ac:dyDescent="0.25">
      <c r="B89" s="19"/>
      <c r="C89" s="20"/>
      <c r="D89" s="19"/>
      <c r="E89" s="20"/>
    </row>
    <row r="90" spans="2:5" x14ac:dyDescent="0.25">
      <c r="B90" s="19"/>
      <c r="C90" s="20"/>
      <c r="D90" s="19"/>
      <c r="E90" s="20"/>
    </row>
    <row r="91" spans="2:5" x14ac:dyDescent="0.25">
      <c r="B91" s="19"/>
      <c r="C91" s="20"/>
      <c r="D91" s="19"/>
      <c r="E91" s="20"/>
    </row>
    <row r="92" spans="2:5" x14ac:dyDescent="0.25">
      <c r="B92" s="19"/>
      <c r="C92" s="20"/>
      <c r="D92" s="19"/>
      <c r="E92" s="20"/>
    </row>
    <row r="93" spans="2:5" x14ac:dyDescent="0.25">
      <c r="B93" s="19"/>
      <c r="C93" s="20"/>
      <c r="D93" s="19"/>
      <c r="E93" s="20"/>
    </row>
    <row r="94" spans="2:5" x14ac:dyDescent="0.25">
      <c r="B94" s="19"/>
      <c r="C94" s="20"/>
      <c r="D94" s="19"/>
      <c r="E94" s="20"/>
    </row>
    <row r="95" spans="2:5" x14ac:dyDescent="0.25">
      <c r="B95" s="19"/>
      <c r="C95" s="20"/>
      <c r="D95" s="19"/>
      <c r="E95" s="20"/>
    </row>
    <row r="96" spans="2:5" x14ac:dyDescent="0.25">
      <c r="B96" s="19"/>
      <c r="C96" s="20"/>
      <c r="D96" s="19"/>
      <c r="E96" s="20"/>
    </row>
    <row r="97" spans="2:5" x14ac:dyDescent="0.25">
      <c r="B97" s="19"/>
      <c r="C97" s="20"/>
      <c r="D97" s="19"/>
      <c r="E97" s="20"/>
    </row>
    <row r="98" spans="2:5" x14ac:dyDescent="0.25">
      <c r="B98" s="19"/>
      <c r="C98" s="20"/>
      <c r="D98" s="19"/>
      <c r="E98" s="20"/>
    </row>
    <row r="99" spans="2:5" x14ac:dyDescent="0.25">
      <c r="B99" s="19"/>
      <c r="C99" s="20"/>
      <c r="D99" s="19"/>
      <c r="E99" s="20"/>
    </row>
    <row r="100" spans="2:5" x14ac:dyDescent="0.25">
      <c r="B100" s="19"/>
      <c r="C100" s="20"/>
      <c r="D100" s="19"/>
      <c r="E100" s="20"/>
    </row>
    <row r="101" spans="2:5" x14ac:dyDescent="0.25">
      <c r="B101" s="19"/>
      <c r="C101" s="20"/>
      <c r="D101" s="19"/>
      <c r="E101" s="20"/>
    </row>
    <row r="102" spans="2:5" x14ac:dyDescent="0.25">
      <c r="B102" s="19"/>
      <c r="C102" s="20"/>
      <c r="D102" s="19"/>
      <c r="E102" s="20"/>
    </row>
    <row r="103" spans="2:5" x14ac:dyDescent="0.25">
      <c r="B103" s="19"/>
      <c r="C103" s="20"/>
      <c r="D103" s="19"/>
      <c r="E103" s="20"/>
    </row>
    <row r="104" spans="2:5" x14ac:dyDescent="0.25">
      <c r="B104" s="19"/>
      <c r="C104" s="20"/>
      <c r="D104" s="19"/>
      <c r="E104" s="20"/>
    </row>
    <row r="105" spans="2:5" x14ac:dyDescent="0.25">
      <c r="B105" s="19"/>
      <c r="C105" s="20"/>
      <c r="D105" s="19"/>
      <c r="E105" s="20"/>
    </row>
    <row r="106" spans="2:5" x14ac:dyDescent="0.25">
      <c r="B106" s="19"/>
      <c r="C106" s="20"/>
      <c r="D106" s="19"/>
      <c r="E106" s="20"/>
    </row>
    <row r="107" spans="2:5" x14ac:dyDescent="0.25">
      <c r="B107" s="19"/>
      <c r="C107" s="20"/>
      <c r="D107" s="19"/>
      <c r="E107" s="20"/>
    </row>
    <row r="108" spans="2:5" x14ac:dyDescent="0.25">
      <c r="B108" s="19"/>
      <c r="C108" s="20"/>
      <c r="D108" s="19"/>
      <c r="E108" s="20"/>
    </row>
    <row r="109" spans="2:5" x14ac:dyDescent="0.25">
      <c r="B109" s="19"/>
      <c r="C109" s="20"/>
      <c r="D109" s="19"/>
      <c r="E109" s="20"/>
    </row>
    <row r="110" spans="2:5" x14ac:dyDescent="0.25">
      <c r="B110" s="19"/>
      <c r="C110" s="20"/>
      <c r="D110" s="19"/>
      <c r="E110" s="20"/>
    </row>
    <row r="111" spans="2:5" x14ac:dyDescent="0.25">
      <c r="B111" s="19"/>
      <c r="C111" s="20"/>
      <c r="D111" s="19"/>
      <c r="E111" s="20"/>
    </row>
    <row r="112" spans="2:5" x14ac:dyDescent="0.25">
      <c r="B112" s="19"/>
      <c r="C112" s="20"/>
      <c r="D112" s="19"/>
      <c r="E112" s="20"/>
    </row>
    <row r="113" spans="2:5" x14ac:dyDescent="0.25">
      <c r="B113" s="19"/>
      <c r="C113" s="20"/>
      <c r="D113" s="19"/>
      <c r="E113" s="20"/>
    </row>
    <row r="114" spans="2:5" x14ac:dyDescent="0.25">
      <c r="B114" s="19"/>
      <c r="C114" s="20"/>
      <c r="D114" s="19"/>
      <c r="E114" s="20"/>
    </row>
    <row r="115" spans="2:5" x14ac:dyDescent="0.25">
      <c r="B115" s="19"/>
      <c r="C115" s="20"/>
      <c r="D115" s="19"/>
      <c r="E115" s="20"/>
    </row>
    <row r="116" spans="2:5" x14ac:dyDescent="0.25">
      <c r="B116" s="19"/>
      <c r="C116" s="20"/>
      <c r="D116" s="19"/>
      <c r="E116" s="20"/>
    </row>
    <row r="117" spans="2:5" x14ac:dyDescent="0.25">
      <c r="B117" s="19"/>
      <c r="C117" s="20"/>
      <c r="D117" s="19"/>
      <c r="E117" s="20"/>
    </row>
    <row r="118" spans="2:5" x14ac:dyDescent="0.25">
      <c r="B118" s="19"/>
      <c r="C118" s="20"/>
      <c r="D118" s="19"/>
      <c r="E118" s="20"/>
    </row>
    <row r="119" spans="2:5" x14ac:dyDescent="0.25">
      <c r="B119" s="19"/>
      <c r="C119" s="20"/>
      <c r="D119" s="19"/>
      <c r="E119" s="20"/>
    </row>
    <row r="120" spans="2:5" x14ac:dyDescent="0.25">
      <c r="B120" s="19"/>
      <c r="C120" s="20"/>
      <c r="D120" s="19"/>
      <c r="E120" s="20"/>
    </row>
    <row r="121" spans="2:5" x14ac:dyDescent="0.25">
      <c r="B121" s="19"/>
      <c r="C121" s="20"/>
      <c r="D121" s="19"/>
      <c r="E121" s="20"/>
    </row>
    <row r="122" spans="2:5" x14ac:dyDescent="0.25">
      <c r="B122" s="19"/>
      <c r="C122" s="20"/>
      <c r="D122" s="19"/>
      <c r="E122" s="20"/>
    </row>
    <row r="123" spans="2:5" x14ac:dyDescent="0.25">
      <c r="B123" s="19"/>
      <c r="C123" s="20"/>
      <c r="D123" s="19"/>
      <c r="E123" s="20"/>
    </row>
    <row r="124" spans="2:5" x14ac:dyDescent="0.25">
      <c r="B124" s="19"/>
      <c r="C124" s="20"/>
      <c r="D124" s="19"/>
      <c r="E124" s="20"/>
    </row>
    <row r="125" spans="2:5" x14ac:dyDescent="0.25">
      <c r="B125" s="19"/>
      <c r="C125" s="20"/>
      <c r="D125" s="19"/>
      <c r="E125" s="20"/>
    </row>
    <row r="126" spans="2:5" x14ac:dyDescent="0.25">
      <c r="B126" s="19"/>
      <c r="C126" s="20"/>
      <c r="D126" s="19"/>
      <c r="E126" s="20"/>
    </row>
    <row r="127" spans="2:5" x14ac:dyDescent="0.25">
      <c r="B127" s="19"/>
      <c r="C127" s="20"/>
      <c r="D127" s="19"/>
      <c r="E127" s="20"/>
    </row>
    <row r="128" spans="2:5" x14ac:dyDescent="0.25">
      <c r="B128" s="19"/>
      <c r="C128" s="20"/>
      <c r="D128" s="19"/>
      <c r="E128" s="20"/>
    </row>
    <row r="129" spans="2:5" x14ac:dyDescent="0.25">
      <c r="B129" s="19"/>
      <c r="C129" s="20"/>
      <c r="D129" s="19"/>
      <c r="E129" s="20"/>
    </row>
    <row r="130" spans="2:5" x14ac:dyDescent="0.25">
      <c r="B130" s="19"/>
      <c r="C130" s="20"/>
      <c r="D130" s="19"/>
      <c r="E130" s="20"/>
    </row>
    <row r="131" spans="2:5" x14ac:dyDescent="0.25">
      <c r="B131" s="19"/>
      <c r="C131" s="20"/>
      <c r="D131" s="19"/>
      <c r="E131" s="20"/>
    </row>
    <row r="132" spans="2:5" x14ac:dyDescent="0.25">
      <c r="B132" s="19"/>
      <c r="C132" s="20"/>
      <c r="D132" s="19"/>
      <c r="E132" s="20"/>
    </row>
    <row r="133" spans="2:5" x14ac:dyDescent="0.25">
      <c r="B133" s="19"/>
      <c r="C133" s="20"/>
      <c r="D133" s="19"/>
      <c r="E133" s="20"/>
    </row>
    <row r="134" spans="2:5" x14ac:dyDescent="0.25">
      <c r="B134" s="19"/>
      <c r="C134" s="20"/>
      <c r="D134" s="19"/>
      <c r="E134" s="20"/>
    </row>
    <row r="135" spans="2:5" x14ac:dyDescent="0.25">
      <c r="B135" s="19"/>
      <c r="C135" s="20"/>
      <c r="D135" s="19"/>
      <c r="E135" s="20"/>
    </row>
    <row r="136" spans="2:5" x14ac:dyDescent="0.25">
      <c r="B136" s="19"/>
      <c r="C136" s="20"/>
      <c r="D136" s="19"/>
      <c r="E136" s="20"/>
    </row>
    <row r="137" spans="2:5" x14ac:dyDescent="0.25">
      <c r="B137" s="19"/>
      <c r="C137" s="20"/>
      <c r="D137" s="19"/>
      <c r="E137" s="20"/>
    </row>
    <row r="138" spans="2:5" x14ac:dyDescent="0.25">
      <c r="B138" s="19"/>
      <c r="C138" s="20"/>
      <c r="D138" s="19"/>
      <c r="E138" s="20"/>
    </row>
    <row r="139" spans="2:5" x14ac:dyDescent="0.25">
      <c r="B139" s="19"/>
      <c r="C139" s="20"/>
      <c r="D139" s="19"/>
      <c r="E139" s="20"/>
    </row>
    <row r="140" spans="2:5" x14ac:dyDescent="0.25">
      <c r="B140" s="19"/>
      <c r="C140" s="20"/>
      <c r="D140" s="19"/>
      <c r="E140" s="20"/>
    </row>
    <row r="141" spans="2:5" x14ac:dyDescent="0.25">
      <c r="B141" s="19"/>
      <c r="C141" s="20"/>
      <c r="D141" s="19"/>
      <c r="E141" s="20"/>
    </row>
    <row r="142" spans="2:5" x14ac:dyDescent="0.25">
      <c r="B142" s="19"/>
      <c r="C142" s="20"/>
      <c r="D142" s="19"/>
      <c r="E142" s="20"/>
    </row>
    <row r="143" spans="2:5" x14ac:dyDescent="0.25">
      <c r="B143" s="19"/>
      <c r="C143" s="20"/>
      <c r="D143" s="19"/>
      <c r="E143" s="20"/>
    </row>
    <row r="144" spans="2:5" x14ac:dyDescent="0.25">
      <c r="B144" s="19"/>
      <c r="C144" s="20"/>
      <c r="D144" s="19"/>
      <c r="E144" s="20"/>
    </row>
    <row r="145" spans="2:5" x14ac:dyDescent="0.25">
      <c r="B145" s="19"/>
      <c r="C145" s="20"/>
      <c r="D145" s="19"/>
      <c r="E145" s="20"/>
    </row>
    <row r="146" spans="2:5" x14ac:dyDescent="0.25">
      <c r="B146" s="19"/>
      <c r="C146" s="20"/>
      <c r="D146" s="19"/>
      <c r="E146" s="20"/>
    </row>
    <row r="147" spans="2:5" x14ac:dyDescent="0.25">
      <c r="B147" s="19"/>
      <c r="C147" s="20"/>
      <c r="D147" s="19"/>
      <c r="E147" s="20"/>
    </row>
    <row r="148" spans="2:5" x14ac:dyDescent="0.25">
      <c r="B148" s="19"/>
      <c r="C148" s="20"/>
      <c r="D148" s="19"/>
      <c r="E148" s="20"/>
    </row>
    <row r="149" spans="2:5" x14ac:dyDescent="0.25">
      <c r="B149" s="19"/>
      <c r="C149" s="20"/>
      <c r="D149" s="19"/>
      <c r="E149" s="20"/>
    </row>
    <row r="150" spans="2:5" x14ac:dyDescent="0.25">
      <c r="B150" s="19"/>
      <c r="C150" s="20"/>
      <c r="D150" s="19"/>
      <c r="E150" s="20"/>
    </row>
    <row r="151" spans="2:5" x14ac:dyDescent="0.25">
      <c r="B151" s="19"/>
      <c r="C151" s="20"/>
      <c r="D151" s="19"/>
      <c r="E151" s="20"/>
    </row>
    <row r="152" spans="2:5" x14ac:dyDescent="0.25">
      <c r="B152" s="19"/>
      <c r="C152" s="20"/>
      <c r="D152" s="19"/>
      <c r="E152" s="20"/>
    </row>
    <row r="153" spans="2:5" x14ac:dyDescent="0.25">
      <c r="B153" s="19"/>
      <c r="C153" s="20"/>
      <c r="D153" s="19"/>
      <c r="E153" s="20"/>
    </row>
    <row r="154" spans="2:5" x14ac:dyDescent="0.25">
      <c r="B154" s="19"/>
      <c r="C154" s="20"/>
      <c r="D154" s="19"/>
      <c r="E154" s="20"/>
    </row>
    <row r="155" spans="2:5" x14ac:dyDescent="0.25">
      <c r="B155" s="19"/>
      <c r="C155" s="20"/>
      <c r="D155" s="19"/>
      <c r="E155" s="20"/>
    </row>
    <row r="156" spans="2:5" x14ac:dyDescent="0.25">
      <c r="B156" s="19"/>
      <c r="C156" s="20"/>
      <c r="D156" s="19"/>
      <c r="E156" s="20"/>
    </row>
    <row r="157" spans="2:5" x14ac:dyDescent="0.25">
      <c r="B157" s="19"/>
      <c r="C157" s="20"/>
      <c r="D157" s="19"/>
      <c r="E157" s="20"/>
    </row>
    <row r="158" spans="2:5" x14ac:dyDescent="0.25">
      <c r="B158" s="19"/>
      <c r="C158" s="20"/>
      <c r="D158" s="19"/>
      <c r="E158" s="20"/>
    </row>
    <row r="159" spans="2:5" x14ac:dyDescent="0.25">
      <c r="B159" s="19"/>
      <c r="C159" s="20"/>
      <c r="D159" s="19"/>
      <c r="E159" s="20"/>
    </row>
    <row r="160" spans="2:5" x14ac:dyDescent="0.25">
      <c r="B160" s="19"/>
      <c r="C160" s="20"/>
      <c r="D160" s="19"/>
      <c r="E160" s="20"/>
    </row>
    <row r="161" spans="2:5" x14ac:dyDescent="0.25">
      <c r="B161" s="19"/>
      <c r="C161" s="20"/>
      <c r="D161" s="19"/>
      <c r="E161" s="20"/>
    </row>
    <row r="162" spans="2:5" x14ac:dyDescent="0.25">
      <c r="B162" s="19"/>
      <c r="C162" s="20"/>
      <c r="D162" s="19"/>
      <c r="E162" s="20"/>
    </row>
    <row r="163" spans="2:5" x14ac:dyDescent="0.25">
      <c r="B163" s="19"/>
      <c r="C163" s="20"/>
      <c r="D163" s="19"/>
      <c r="E163" s="20"/>
    </row>
    <row r="164" spans="2:5" x14ac:dyDescent="0.25">
      <c r="B164" s="19"/>
      <c r="C164" s="20"/>
      <c r="D164" s="19"/>
      <c r="E164" s="20"/>
    </row>
    <row r="165" spans="2:5" x14ac:dyDescent="0.25">
      <c r="B165" s="19"/>
      <c r="C165" s="20"/>
      <c r="D165" s="19"/>
      <c r="E165" s="20"/>
    </row>
    <row r="166" spans="2:5" x14ac:dyDescent="0.25">
      <c r="B166" s="19"/>
      <c r="C166" s="19"/>
      <c r="D166" s="19"/>
      <c r="E166" s="20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J165"/>
  <sheetViews>
    <sheetView workbookViewId="0">
      <selection activeCell="C6" sqref="C6"/>
    </sheetView>
  </sheetViews>
  <sheetFormatPr baseColWidth="10" defaultRowHeight="15" x14ac:dyDescent="0.25"/>
  <cols>
    <col min="1" max="1" width="16.42578125" style="19" customWidth="1"/>
    <col min="2" max="2" width="11.42578125" style="19"/>
    <col min="3" max="3" width="15.7109375" style="19" customWidth="1"/>
    <col min="4" max="4" width="21.7109375" style="19" customWidth="1"/>
    <col min="5" max="5" width="11.42578125" style="19"/>
    <col min="6" max="6" width="16.42578125" customWidth="1"/>
    <col min="7" max="7" width="14.7109375" customWidth="1"/>
    <col min="8" max="8" width="15.85546875" customWidth="1"/>
    <col min="9" max="9" width="12.140625" customWidth="1"/>
  </cols>
  <sheetData>
    <row r="2" spans="1:10" x14ac:dyDescent="0.25">
      <c r="B2" s="20"/>
      <c r="D2" s="20"/>
    </row>
    <row r="3" spans="1:10" x14ac:dyDescent="0.25">
      <c r="B3" s="20"/>
      <c r="D3" s="20"/>
      <c r="E3" s="21"/>
    </row>
    <row r="4" spans="1:10" x14ac:dyDescent="0.25">
      <c r="B4" s="20"/>
      <c r="D4" s="20"/>
    </row>
    <row r="5" spans="1:10" x14ac:dyDescent="0.25">
      <c r="A5" s="33" t="s">
        <v>8</v>
      </c>
      <c r="B5" s="33" t="s">
        <v>6</v>
      </c>
      <c r="C5" s="33" t="s">
        <v>2</v>
      </c>
      <c r="D5" s="33" t="s">
        <v>7</v>
      </c>
      <c r="E5" s="33"/>
      <c r="F5" s="32"/>
      <c r="G5" s="32"/>
      <c r="H5" s="32"/>
      <c r="I5" s="32"/>
      <c r="J5" s="32"/>
    </row>
    <row r="6" spans="1:10" x14ac:dyDescent="0.25">
      <c r="A6" s="23"/>
      <c r="B6" s="29"/>
      <c r="C6" s="14"/>
      <c r="D6" s="26"/>
    </row>
    <row r="7" spans="1:10" x14ac:dyDescent="0.25">
      <c r="A7" s="24"/>
      <c r="B7" s="30"/>
      <c r="C7" s="15"/>
      <c r="D7" s="27"/>
    </row>
    <row r="8" spans="1:10" x14ac:dyDescent="0.25">
      <c r="A8" s="24"/>
      <c r="B8" s="30"/>
      <c r="C8" s="15"/>
      <c r="D8" s="27"/>
    </row>
    <row r="9" spans="1:10" x14ac:dyDescent="0.25">
      <c r="A9" s="24"/>
      <c r="B9" s="30"/>
      <c r="C9" s="15"/>
      <c r="D9" s="27"/>
    </row>
    <row r="10" spans="1:10" x14ac:dyDescent="0.25">
      <c r="A10" s="24"/>
      <c r="B10" s="30"/>
      <c r="C10" s="15"/>
      <c r="D10" s="27"/>
    </row>
    <row r="11" spans="1:10" x14ac:dyDescent="0.25">
      <c r="A11" s="24"/>
      <c r="B11" s="30"/>
      <c r="C11" s="15"/>
      <c r="D11" s="27"/>
    </row>
    <row r="12" spans="1:10" x14ac:dyDescent="0.25">
      <c r="A12" s="24"/>
      <c r="B12" s="30"/>
      <c r="C12" s="15"/>
      <c r="D12" s="27"/>
    </row>
    <row r="13" spans="1:10" x14ac:dyDescent="0.25">
      <c r="A13" s="24"/>
      <c r="B13" s="30"/>
      <c r="C13" s="15"/>
      <c r="D13" s="27"/>
    </row>
    <row r="14" spans="1:10" x14ac:dyDescent="0.25">
      <c r="A14" s="24"/>
      <c r="B14" s="30"/>
      <c r="C14" s="15"/>
      <c r="D14" s="27"/>
    </row>
    <row r="15" spans="1:10" x14ac:dyDescent="0.25">
      <c r="A15" s="24"/>
      <c r="B15" s="30"/>
      <c r="C15" s="15"/>
      <c r="D15" s="27"/>
    </row>
    <row r="16" spans="1:10" x14ac:dyDescent="0.25">
      <c r="A16" s="24"/>
      <c r="B16" s="30"/>
      <c r="C16" s="15"/>
      <c r="D16" s="27"/>
    </row>
    <row r="17" spans="1:4" x14ac:dyDescent="0.25">
      <c r="A17" s="24"/>
      <c r="B17" s="30"/>
      <c r="C17" s="15"/>
      <c r="D17" s="27"/>
    </row>
    <row r="18" spans="1:4" x14ac:dyDescent="0.25">
      <c r="A18" s="24"/>
      <c r="B18" s="30"/>
      <c r="C18" s="15"/>
      <c r="D18" s="27"/>
    </row>
    <row r="19" spans="1:4" x14ac:dyDescent="0.25">
      <c r="A19" s="24"/>
      <c r="B19" s="30"/>
      <c r="C19" s="15"/>
      <c r="D19" s="27"/>
    </row>
    <row r="20" spans="1:4" x14ac:dyDescent="0.25">
      <c r="A20" s="24"/>
      <c r="B20" s="30"/>
      <c r="C20" s="15"/>
      <c r="D20" s="27"/>
    </row>
    <row r="21" spans="1:4" x14ac:dyDescent="0.25">
      <c r="A21" s="24"/>
      <c r="B21" s="30"/>
      <c r="C21" s="15"/>
      <c r="D21" s="27"/>
    </row>
    <row r="22" spans="1:4" x14ac:dyDescent="0.25">
      <c r="A22" s="24"/>
      <c r="B22" s="30"/>
      <c r="C22" s="15"/>
      <c r="D22" s="27"/>
    </row>
    <row r="23" spans="1:4" x14ac:dyDescent="0.25">
      <c r="A23" s="24"/>
      <c r="B23" s="30"/>
      <c r="C23" s="15"/>
      <c r="D23" s="27"/>
    </row>
    <row r="24" spans="1:4" x14ac:dyDescent="0.25">
      <c r="A24" s="24"/>
      <c r="B24" s="30"/>
      <c r="C24" s="15"/>
      <c r="D24" s="27"/>
    </row>
    <row r="25" spans="1:4" x14ac:dyDescent="0.25">
      <c r="A25" s="24"/>
      <c r="B25" s="30"/>
      <c r="C25" s="15"/>
      <c r="D25" s="27"/>
    </row>
    <row r="26" spans="1:4" x14ac:dyDescent="0.25">
      <c r="A26" s="24"/>
      <c r="B26" s="30"/>
      <c r="C26" s="15"/>
      <c r="D26" s="27"/>
    </row>
    <row r="27" spans="1:4" x14ac:dyDescent="0.25">
      <c r="A27" s="24"/>
      <c r="B27" s="30"/>
      <c r="C27" s="15"/>
      <c r="D27" s="27"/>
    </row>
    <row r="28" spans="1:4" x14ac:dyDescent="0.25">
      <c r="A28" s="24"/>
      <c r="B28" s="30"/>
      <c r="C28" s="15"/>
      <c r="D28" s="27"/>
    </row>
    <row r="29" spans="1:4" x14ac:dyDescent="0.25">
      <c r="A29" s="24"/>
      <c r="B29" s="30"/>
      <c r="C29" s="15"/>
      <c r="D29" s="27"/>
    </row>
    <row r="30" spans="1:4" x14ac:dyDescent="0.25">
      <c r="A30" s="24"/>
      <c r="B30" s="30"/>
      <c r="C30" s="15"/>
      <c r="D30" s="27"/>
    </row>
    <row r="31" spans="1:4" x14ac:dyDescent="0.25">
      <c r="A31" s="24"/>
      <c r="B31" s="30"/>
      <c r="C31" s="15"/>
      <c r="D31" s="27"/>
    </row>
    <row r="32" spans="1:4" x14ac:dyDescent="0.25">
      <c r="A32" s="24"/>
      <c r="B32" s="30"/>
      <c r="C32" s="15"/>
      <c r="D32" s="27"/>
    </row>
    <row r="33" spans="1:4" x14ac:dyDescent="0.25">
      <c r="A33" s="24"/>
      <c r="B33" s="30"/>
      <c r="C33" s="15"/>
      <c r="D33" s="27"/>
    </row>
    <row r="34" spans="1:4" x14ac:dyDescent="0.25">
      <c r="A34" s="24"/>
      <c r="B34" s="30"/>
      <c r="C34" s="15"/>
      <c r="D34" s="27"/>
    </row>
    <row r="35" spans="1:4" x14ac:dyDescent="0.25">
      <c r="A35" s="24"/>
      <c r="B35" s="30"/>
      <c r="C35" s="15"/>
      <c r="D35" s="27"/>
    </row>
    <row r="36" spans="1:4" x14ac:dyDescent="0.25">
      <c r="A36" s="24"/>
      <c r="B36" s="30"/>
      <c r="C36" s="15"/>
      <c r="D36" s="27"/>
    </row>
    <row r="37" spans="1:4" x14ac:dyDescent="0.25">
      <c r="A37" s="24"/>
      <c r="B37" s="30"/>
      <c r="C37" s="15"/>
      <c r="D37" s="27"/>
    </row>
    <row r="38" spans="1:4" x14ac:dyDescent="0.25">
      <c r="A38" s="24"/>
      <c r="B38" s="30"/>
      <c r="C38" s="15"/>
      <c r="D38" s="27"/>
    </row>
    <row r="39" spans="1:4" x14ac:dyDescent="0.25">
      <c r="A39" s="24"/>
      <c r="B39" s="30"/>
      <c r="C39" s="15"/>
      <c r="D39" s="27"/>
    </row>
    <row r="40" spans="1:4" x14ac:dyDescent="0.25">
      <c r="A40" s="24"/>
      <c r="B40" s="30"/>
      <c r="C40" s="15"/>
      <c r="D40" s="27"/>
    </row>
    <row r="41" spans="1:4" x14ac:dyDescent="0.25">
      <c r="A41" s="24"/>
      <c r="B41" s="30"/>
      <c r="C41" s="15"/>
      <c r="D41" s="27"/>
    </row>
    <row r="42" spans="1:4" x14ac:dyDescent="0.25">
      <c r="A42" s="24"/>
      <c r="B42" s="30"/>
      <c r="C42" s="15"/>
      <c r="D42" s="27"/>
    </row>
    <row r="43" spans="1:4" x14ac:dyDescent="0.25">
      <c r="A43" s="24"/>
      <c r="B43" s="30"/>
      <c r="C43" s="15"/>
      <c r="D43" s="27"/>
    </row>
    <row r="44" spans="1:4" x14ac:dyDescent="0.25">
      <c r="A44" s="24"/>
      <c r="B44" s="30"/>
      <c r="C44" s="15"/>
      <c r="D44" s="27"/>
    </row>
    <row r="45" spans="1:4" x14ac:dyDescent="0.25">
      <c r="A45" s="24"/>
      <c r="B45" s="30"/>
      <c r="C45" s="15"/>
      <c r="D45" s="27"/>
    </row>
    <row r="46" spans="1:4" x14ac:dyDescent="0.25">
      <c r="A46" s="24"/>
      <c r="B46" s="30"/>
      <c r="C46" s="15"/>
      <c r="D46" s="27"/>
    </row>
    <row r="47" spans="1:4" x14ac:dyDescent="0.25">
      <c r="A47" s="24"/>
      <c r="B47" s="30"/>
      <c r="C47" s="15"/>
      <c r="D47" s="27"/>
    </row>
    <row r="48" spans="1:4" x14ac:dyDescent="0.25">
      <c r="A48" s="24"/>
      <c r="B48" s="30"/>
      <c r="C48" s="15"/>
      <c r="D48" s="27"/>
    </row>
    <row r="49" spans="1:4" x14ac:dyDescent="0.25">
      <c r="A49" s="24"/>
      <c r="B49" s="30"/>
      <c r="C49" s="15"/>
      <c r="D49" s="27"/>
    </row>
    <row r="50" spans="1:4" x14ac:dyDescent="0.25">
      <c r="A50" s="24"/>
      <c r="B50" s="30"/>
      <c r="C50" s="15"/>
      <c r="D50" s="27"/>
    </row>
    <row r="51" spans="1:4" x14ac:dyDescent="0.25">
      <c r="A51" s="24"/>
      <c r="B51" s="30"/>
      <c r="C51" s="15"/>
      <c r="D51" s="27"/>
    </row>
    <row r="52" spans="1:4" x14ac:dyDescent="0.25">
      <c r="A52" s="24"/>
      <c r="B52" s="30"/>
      <c r="C52" s="15"/>
      <c r="D52" s="27"/>
    </row>
    <row r="53" spans="1:4" x14ac:dyDescent="0.25">
      <c r="A53" s="24"/>
      <c r="B53" s="30"/>
      <c r="C53" s="15"/>
      <c r="D53" s="27"/>
    </row>
    <row r="54" spans="1:4" x14ac:dyDescent="0.25">
      <c r="A54" s="24"/>
      <c r="B54" s="30"/>
      <c r="C54" s="15"/>
      <c r="D54" s="27"/>
    </row>
    <row r="55" spans="1:4" x14ac:dyDescent="0.25">
      <c r="A55" s="24"/>
      <c r="B55" s="30"/>
      <c r="C55" s="15"/>
      <c r="D55" s="27"/>
    </row>
    <row r="56" spans="1:4" x14ac:dyDescent="0.25">
      <c r="A56" s="24"/>
      <c r="B56" s="30"/>
      <c r="C56" s="15"/>
      <c r="D56" s="27"/>
    </row>
    <row r="57" spans="1:4" x14ac:dyDescent="0.25">
      <c r="A57" s="24"/>
      <c r="B57" s="30"/>
      <c r="C57" s="15"/>
      <c r="D57" s="27"/>
    </row>
    <row r="58" spans="1:4" x14ac:dyDescent="0.25">
      <c r="A58" s="24"/>
      <c r="B58" s="30"/>
      <c r="C58" s="15"/>
      <c r="D58" s="27"/>
    </row>
    <row r="59" spans="1:4" x14ac:dyDescent="0.25">
      <c r="A59" s="24"/>
      <c r="B59" s="30"/>
      <c r="C59" s="15"/>
      <c r="D59" s="27"/>
    </row>
    <row r="60" spans="1:4" x14ac:dyDescent="0.25">
      <c r="A60" s="24"/>
      <c r="B60" s="30"/>
      <c r="C60" s="15"/>
      <c r="D60" s="27"/>
    </row>
    <row r="61" spans="1:4" x14ac:dyDescent="0.25">
      <c r="A61" s="24"/>
      <c r="B61" s="30"/>
      <c r="C61" s="15"/>
      <c r="D61" s="27"/>
    </row>
    <row r="62" spans="1:4" x14ac:dyDescent="0.25">
      <c r="A62" s="24"/>
      <c r="B62" s="30"/>
      <c r="C62" s="15"/>
      <c r="D62" s="27"/>
    </row>
    <row r="63" spans="1:4" x14ac:dyDescent="0.25">
      <c r="A63" s="24"/>
      <c r="B63" s="30"/>
      <c r="C63" s="15"/>
      <c r="D63" s="27"/>
    </row>
    <row r="64" spans="1:4" x14ac:dyDescent="0.25">
      <c r="A64" s="24"/>
      <c r="B64" s="30"/>
      <c r="C64" s="15"/>
      <c r="D64" s="27"/>
    </row>
    <row r="65" spans="1:4" x14ac:dyDescent="0.25">
      <c r="A65" s="24"/>
      <c r="B65" s="30"/>
      <c r="C65" s="15"/>
      <c r="D65" s="27"/>
    </row>
    <row r="66" spans="1:4" x14ac:dyDescent="0.25">
      <c r="A66" s="24"/>
      <c r="B66" s="30"/>
      <c r="C66" s="15"/>
      <c r="D66" s="27"/>
    </row>
    <row r="67" spans="1:4" x14ac:dyDescent="0.25">
      <c r="A67" s="24"/>
      <c r="B67" s="30"/>
      <c r="C67" s="15"/>
      <c r="D67" s="27"/>
    </row>
    <row r="68" spans="1:4" x14ac:dyDescent="0.25">
      <c r="A68" s="24"/>
      <c r="B68" s="30"/>
      <c r="C68" s="15"/>
      <c r="D68" s="27"/>
    </row>
    <row r="69" spans="1:4" x14ac:dyDescent="0.25">
      <c r="A69" s="24"/>
      <c r="B69" s="30"/>
      <c r="C69" s="15"/>
      <c r="D69" s="27"/>
    </row>
    <row r="70" spans="1:4" x14ac:dyDescent="0.25">
      <c r="A70" s="24"/>
      <c r="B70" s="30"/>
      <c r="C70" s="15"/>
      <c r="D70" s="27"/>
    </row>
    <row r="71" spans="1:4" x14ac:dyDescent="0.25">
      <c r="A71" s="24"/>
      <c r="B71" s="30"/>
      <c r="C71" s="15"/>
      <c r="D71" s="27"/>
    </row>
    <row r="72" spans="1:4" x14ac:dyDescent="0.25">
      <c r="A72" s="24"/>
      <c r="B72" s="30"/>
      <c r="C72" s="15"/>
      <c r="D72" s="27"/>
    </row>
    <row r="73" spans="1:4" x14ac:dyDescent="0.25">
      <c r="A73" s="24"/>
      <c r="B73" s="30"/>
      <c r="C73" s="15"/>
      <c r="D73" s="27"/>
    </row>
    <row r="74" spans="1:4" x14ac:dyDescent="0.25">
      <c r="A74" s="24"/>
      <c r="B74" s="30"/>
      <c r="C74" s="15"/>
      <c r="D74" s="27"/>
    </row>
    <row r="75" spans="1:4" x14ac:dyDescent="0.25">
      <c r="A75" s="24"/>
      <c r="B75" s="30"/>
      <c r="C75" s="15"/>
      <c r="D75" s="27"/>
    </row>
    <row r="76" spans="1:4" x14ac:dyDescent="0.25">
      <c r="A76" s="24"/>
      <c r="B76" s="30"/>
      <c r="C76" s="15"/>
      <c r="D76" s="27"/>
    </row>
    <row r="77" spans="1:4" x14ac:dyDescent="0.25">
      <c r="A77" s="24"/>
      <c r="B77" s="30"/>
      <c r="C77" s="15"/>
      <c r="D77" s="27"/>
    </row>
    <row r="78" spans="1:4" x14ac:dyDescent="0.25">
      <c r="A78" s="24"/>
      <c r="B78" s="30"/>
      <c r="C78" s="15"/>
      <c r="D78" s="27"/>
    </row>
    <row r="79" spans="1:4" x14ac:dyDescent="0.25">
      <c r="A79" s="24"/>
      <c r="B79" s="30"/>
      <c r="C79" s="15"/>
      <c r="D79" s="27"/>
    </row>
    <row r="80" spans="1:4" x14ac:dyDescent="0.25">
      <c r="A80" s="24"/>
      <c r="B80" s="30"/>
      <c r="C80" s="15"/>
      <c r="D80" s="27"/>
    </row>
    <row r="81" spans="1:4" x14ac:dyDescent="0.25">
      <c r="A81" s="24"/>
      <c r="B81" s="30"/>
      <c r="C81" s="15"/>
      <c r="D81" s="27"/>
    </row>
    <row r="82" spans="1:4" x14ac:dyDescent="0.25">
      <c r="A82" s="24"/>
      <c r="B82" s="30"/>
      <c r="C82" s="15"/>
      <c r="D82" s="27"/>
    </row>
    <row r="83" spans="1:4" x14ac:dyDescent="0.25">
      <c r="A83" s="24"/>
      <c r="B83" s="30"/>
      <c r="C83" s="15"/>
      <c r="D83" s="27"/>
    </row>
    <row r="84" spans="1:4" x14ac:dyDescent="0.25">
      <c r="A84" s="24"/>
      <c r="B84" s="30"/>
      <c r="C84" s="15"/>
      <c r="D84" s="27"/>
    </row>
    <row r="85" spans="1:4" x14ac:dyDescent="0.25">
      <c r="A85" s="25"/>
      <c r="B85" s="31"/>
      <c r="C85" s="16"/>
      <c r="D85" s="28"/>
    </row>
    <row r="86" spans="1:4" x14ac:dyDescent="0.25">
      <c r="A86" s="23"/>
      <c r="B86" s="29"/>
      <c r="C86" s="14"/>
      <c r="D86" s="26"/>
    </row>
    <row r="87" spans="1:4" x14ac:dyDescent="0.25">
      <c r="A87" s="24"/>
      <c r="B87" s="30"/>
      <c r="C87" s="15"/>
      <c r="D87" s="27"/>
    </row>
    <row r="88" spans="1:4" x14ac:dyDescent="0.25">
      <c r="A88" s="24"/>
      <c r="B88" s="30"/>
      <c r="C88" s="15"/>
      <c r="D88" s="27"/>
    </row>
    <row r="89" spans="1:4" x14ac:dyDescent="0.25">
      <c r="A89" s="24"/>
      <c r="B89" s="30"/>
      <c r="C89" s="15"/>
      <c r="D89" s="27"/>
    </row>
    <row r="90" spans="1:4" x14ac:dyDescent="0.25">
      <c r="A90" s="24"/>
      <c r="B90" s="30"/>
      <c r="C90" s="15"/>
      <c r="D90" s="27"/>
    </row>
    <row r="91" spans="1:4" x14ac:dyDescent="0.25">
      <c r="A91" s="24"/>
      <c r="B91" s="30"/>
      <c r="C91" s="15"/>
      <c r="D91" s="27"/>
    </row>
    <row r="92" spans="1:4" x14ac:dyDescent="0.25">
      <c r="A92" s="24"/>
      <c r="B92" s="30"/>
      <c r="C92" s="15"/>
      <c r="D92" s="27"/>
    </row>
    <row r="93" spans="1:4" x14ac:dyDescent="0.25">
      <c r="A93" s="24"/>
      <c r="B93" s="30"/>
      <c r="C93" s="15"/>
      <c r="D93" s="27"/>
    </row>
    <row r="94" spans="1:4" x14ac:dyDescent="0.25">
      <c r="A94" s="24"/>
      <c r="B94" s="30"/>
      <c r="C94" s="15"/>
      <c r="D94" s="27"/>
    </row>
    <row r="95" spans="1:4" x14ac:dyDescent="0.25">
      <c r="A95" s="24"/>
      <c r="B95" s="30"/>
      <c r="C95" s="15"/>
      <c r="D95" s="27"/>
    </row>
    <row r="96" spans="1:4" x14ac:dyDescent="0.25">
      <c r="A96" s="24"/>
      <c r="B96" s="30"/>
      <c r="C96" s="15"/>
      <c r="D96" s="27"/>
    </row>
    <row r="97" spans="1:4" x14ac:dyDescent="0.25">
      <c r="A97" s="24"/>
      <c r="B97" s="30"/>
      <c r="C97" s="15"/>
      <c r="D97" s="27"/>
    </row>
    <row r="98" spans="1:4" x14ac:dyDescent="0.25">
      <c r="A98" s="24"/>
      <c r="B98" s="30"/>
      <c r="C98" s="15"/>
      <c r="D98" s="27"/>
    </row>
    <row r="99" spans="1:4" x14ac:dyDescent="0.25">
      <c r="A99" s="24"/>
      <c r="B99" s="30"/>
      <c r="C99" s="15"/>
      <c r="D99" s="27"/>
    </row>
    <row r="100" spans="1:4" x14ac:dyDescent="0.25">
      <c r="A100" s="24"/>
      <c r="B100" s="30"/>
      <c r="C100" s="15"/>
      <c r="D100" s="27"/>
    </row>
    <row r="101" spans="1:4" x14ac:dyDescent="0.25">
      <c r="A101" s="24"/>
      <c r="B101" s="30"/>
      <c r="C101" s="15"/>
      <c r="D101" s="27"/>
    </row>
    <row r="102" spans="1:4" x14ac:dyDescent="0.25">
      <c r="A102" s="24"/>
      <c r="B102" s="30"/>
      <c r="C102" s="15"/>
      <c r="D102" s="27"/>
    </row>
    <row r="103" spans="1:4" x14ac:dyDescent="0.25">
      <c r="A103" s="24"/>
      <c r="B103" s="30"/>
      <c r="C103" s="15"/>
      <c r="D103" s="27"/>
    </row>
    <row r="104" spans="1:4" x14ac:dyDescent="0.25">
      <c r="A104" s="24"/>
      <c r="B104" s="30"/>
      <c r="C104" s="15"/>
      <c r="D104" s="27"/>
    </row>
    <row r="105" spans="1:4" x14ac:dyDescent="0.25">
      <c r="A105" s="24"/>
      <c r="B105" s="30"/>
      <c r="C105" s="15"/>
      <c r="D105" s="27"/>
    </row>
    <row r="106" spans="1:4" x14ac:dyDescent="0.25">
      <c r="A106" s="24"/>
      <c r="B106" s="30"/>
      <c r="C106" s="15"/>
      <c r="D106" s="27"/>
    </row>
    <row r="107" spans="1:4" x14ac:dyDescent="0.25">
      <c r="A107" s="24"/>
      <c r="B107" s="30"/>
      <c r="C107" s="15"/>
      <c r="D107" s="27"/>
    </row>
    <row r="108" spans="1:4" x14ac:dyDescent="0.25">
      <c r="A108" s="24"/>
      <c r="B108" s="30"/>
      <c r="C108" s="15"/>
      <c r="D108" s="27"/>
    </row>
    <row r="109" spans="1:4" x14ac:dyDescent="0.25">
      <c r="A109" s="24"/>
      <c r="B109" s="30"/>
      <c r="C109" s="15"/>
      <c r="D109" s="27"/>
    </row>
    <row r="110" spans="1:4" x14ac:dyDescent="0.25">
      <c r="A110" s="24"/>
      <c r="B110" s="30"/>
      <c r="C110" s="15"/>
      <c r="D110" s="27"/>
    </row>
    <row r="111" spans="1:4" x14ac:dyDescent="0.25">
      <c r="A111" s="24"/>
      <c r="B111" s="30"/>
      <c r="C111" s="15"/>
      <c r="D111" s="27"/>
    </row>
    <row r="112" spans="1:4" x14ac:dyDescent="0.25">
      <c r="A112" s="24"/>
      <c r="B112" s="30"/>
      <c r="C112" s="15"/>
      <c r="D112" s="27"/>
    </row>
    <row r="113" spans="1:4" x14ac:dyDescent="0.25">
      <c r="A113" s="24"/>
      <c r="B113" s="30"/>
      <c r="C113" s="15"/>
      <c r="D113" s="27"/>
    </row>
    <row r="114" spans="1:4" x14ac:dyDescent="0.25">
      <c r="A114" s="24"/>
      <c r="B114" s="30"/>
      <c r="C114" s="15"/>
      <c r="D114" s="27"/>
    </row>
    <row r="115" spans="1:4" x14ac:dyDescent="0.25">
      <c r="A115" s="24"/>
      <c r="B115" s="30"/>
      <c r="C115" s="15"/>
      <c r="D115" s="27"/>
    </row>
    <row r="116" spans="1:4" x14ac:dyDescent="0.25">
      <c r="A116" s="24"/>
      <c r="B116" s="30"/>
      <c r="C116" s="15"/>
      <c r="D116" s="27"/>
    </row>
    <row r="117" spans="1:4" x14ac:dyDescent="0.25">
      <c r="A117" s="24"/>
      <c r="B117" s="30"/>
      <c r="C117" s="15"/>
      <c r="D117" s="27"/>
    </row>
    <row r="118" spans="1:4" x14ac:dyDescent="0.25">
      <c r="A118" s="24"/>
      <c r="B118" s="30"/>
      <c r="C118" s="15"/>
      <c r="D118" s="27"/>
    </row>
    <row r="119" spans="1:4" x14ac:dyDescent="0.25">
      <c r="A119" s="24"/>
      <c r="B119" s="30"/>
      <c r="C119" s="15"/>
      <c r="D119" s="27"/>
    </row>
    <row r="120" spans="1:4" x14ac:dyDescent="0.25">
      <c r="A120" s="24"/>
      <c r="B120" s="30"/>
      <c r="C120" s="15"/>
      <c r="D120" s="27"/>
    </row>
    <row r="121" spans="1:4" x14ac:dyDescent="0.25">
      <c r="A121" s="24"/>
      <c r="B121" s="30"/>
      <c r="C121" s="15"/>
      <c r="D121" s="27"/>
    </row>
    <row r="122" spans="1:4" x14ac:dyDescent="0.25">
      <c r="A122" s="24"/>
      <c r="B122" s="30"/>
      <c r="C122" s="15"/>
      <c r="D122" s="27"/>
    </row>
    <row r="123" spans="1:4" x14ac:dyDescent="0.25">
      <c r="A123" s="24"/>
      <c r="B123" s="30"/>
      <c r="C123" s="15"/>
      <c r="D123" s="27"/>
    </row>
    <row r="124" spans="1:4" x14ac:dyDescent="0.25">
      <c r="A124" s="24"/>
      <c r="B124" s="30"/>
      <c r="C124" s="15"/>
      <c r="D124" s="27"/>
    </row>
    <row r="125" spans="1:4" x14ac:dyDescent="0.25">
      <c r="A125" s="24"/>
      <c r="B125" s="30"/>
      <c r="C125" s="15"/>
      <c r="D125" s="27"/>
    </row>
    <row r="126" spans="1:4" x14ac:dyDescent="0.25">
      <c r="A126" s="24"/>
      <c r="B126" s="30"/>
      <c r="C126" s="15"/>
      <c r="D126" s="27"/>
    </row>
    <row r="127" spans="1:4" x14ac:dyDescent="0.25">
      <c r="A127" s="24"/>
      <c r="B127" s="30"/>
      <c r="C127" s="15"/>
      <c r="D127" s="27"/>
    </row>
    <row r="128" spans="1:4" x14ac:dyDescent="0.25">
      <c r="A128" s="24"/>
      <c r="B128" s="30"/>
      <c r="C128" s="15"/>
      <c r="D128" s="27"/>
    </row>
    <row r="129" spans="1:4" x14ac:dyDescent="0.25">
      <c r="A129" s="24"/>
      <c r="B129" s="30"/>
      <c r="C129" s="15"/>
      <c r="D129" s="27"/>
    </row>
    <row r="130" spans="1:4" x14ac:dyDescent="0.25">
      <c r="A130" s="24"/>
      <c r="B130" s="30"/>
      <c r="C130" s="15"/>
      <c r="D130" s="27"/>
    </row>
    <row r="131" spans="1:4" x14ac:dyDescent="0.25">
      <c r="A131" s="24"/>
      <c r="B131" s="30"/>
      <c r="C131" s="15"/>
      <c r="D131" s="27"/>
    </row>
    <row r="132" spans="1:4" x14ac:dyDescent="0.25">
      <c r="A132" s="24"/>
      <c r="B132" s="30"/>
      <c r="C132" s="15"/>
      <c r="D132" s="27"/>
    </row>
    <row r="133" spans="1:4" x14ac:dyDescent="0.25">
      <c r="A133" s="24"/>
      <c r="B133" s="30"/>
      <c r="C133" s="15"/>
      <c r="D133" s="27"/>
    </row>
    <row r="134" spans="1:4" x14ac:dyDescent="0.25">
      <c r="A134" s="24"/>
      <c r="B134" s="30"/>
      <c r="C134" s="15"/>
      <c r="D134" s="27"/>
    </row>
    <row r="135" spans="1:4" x14ac:dyDescent="0.25">
      <c r="A135" s="24"/>
      <c r="B135" s="30"/>
      <c r="C135" s="15"/>
      <c r="D135" s="27"/>
    </row>
    <row r="136" spans="1:4" x14ac:dyDescent="0.25">
      <c r="A136" s="24"/>
      <c r="B136" s="30"/>
      <c r="C136" s="15"/>
      <c r="D136" s="27"/>
    </row>
    <row r="137" spans="1:4" x14ac:dyDescent="0.25">
      <c r="A137" s="24"/>
      <c r="B137" s="30"/>
      <c r="C137" s="15"/>
      <c r="D137" s="27"/>
    </row>
    <row r="138" spans="1:4" x14ac:dyDescent="0.25">
      <c r="A138" s="24"/>
      <c r="B138" s="30"/>
      <c r="C138" s="15"/>
      <c r="D138" s="27"/>
    </row>
    <row r="139" spans="1:4" x14ac:dyDescent="0.25">
      <c r="A139" s="24"/>
      <c r="B139" s="30"/>
      <c r="C139" s="15"/>
      <c r="D139" s="27"/>
    </row>
    <row r="140" spans="1:4" x14ac:dyDescent="0.25">
      <c r="A140" s="24"/>
      <c r="B140" s="30"/>
      <c r="C140" s="15"/>
      <c r="D140" s="27"/>
    </row>
    <row r="141" spans="1:4" x14ac:dyDescent="0.25">
      <c r="A141" s="24"/>
      <c r="B141" s="30"/>
      <c r="C141" s="15"/>
      <c r="D141" s="27"/>
    </row>
    <row r="142" spans="1:4" x14ac:dyDescent="0.25">
      <c r="A142" s="24"/>
      <c r="B142" s="30"/>
      <c r="C142" s="15"/>
      <c r="D142" s="27"/>
    </row>
    <row r="143" spans="1:4" x14ac:dyDescent="0.25">
      <c r="A143" s="24"/>
      <c r="B143" s="30"/>
      <c r="C143" s="15"/>
      <c r="D143" s="27"/>
    </row>
    <row r="144" spans="1:4" x14ac:dyDescent="0.25">
      <c r="A144" s="24"/>
      <c r="B144" s="30"/>
      <c r="C144" s="15"/>
      <c r="D144" s="27"/>
    </row>
    <row r="145" spans="1:4" x14ac:dyDescent="0.25">
      <c r="A145" s="24"/>
      <c r="B145" s="30"/>
      <c r="C145" s="15"/>
      <c r="D145" s="27"/>
    </row>
    <row r="146" spans="1:4" x14ac:dyDescent="0.25">
      <c r="A146" s="24"/>
      <c r="B146" s="30"/>
      <c r="C146" s="15"/>
      <c r="D146" s="27"/>
    </row>
    <row r="147" spans="1:4" x14ac:dyDescent="0.25">
      <c r="A147" s="24"/>
      <c r="B147" s="30"/>
      <c r="C147" s="15"/>
      <c r="D147" s="27"/>
    </row>
    <row r="148" spans="1:4" x14ac:dyDescent="0.25">
      <c r="A148" s="24"/>
      <c r="B148" s="30"/>
      <c r="C148" s="15"/>
      <c r="D148" s="27"/>
    </row>
    <row r="149" spans="1:4" x14ac:dyDescent="0.25">
      <c r="A149" s="24"/>
      <c r="B149" s="30"/>
      <c r="C149" s="15"/>
      <c r="D149" s="27"/>
    </row>
    <row r="150" spans="1:4" x14ac:dyDescent="0.25">
      <c r="A150" s="24"/>
      <c r="B150" s="30"/>
      <c r="C150" s="15"/>
      <c r="D150" s="27"/>
    </row>
    <row r="151" spans="1:4" x14ac:dyDescent="0.25">
      <c r="A151" s="24"/>
      <c r="B151" s="30"/>
      <c r="C151" s="15"/>
      <c r="D151" s="27"/>
    </row>
    <row r="152" spans="1:4" x14ac:dyDescent="0.25">
      <c r="A152" s="24"/>
      <c r="B152" s="30"/>
      <c r="C152" s="15"/>
      <c r="D152" s="27"/>
    </row>
    <row r="153" spans="1:4" x14ac:dyDescent="0.25">
      <c r="A153" s="24"/>
      <c r="B153" s="30"/>
      <c r="C153" s="15"/>
      <c r="D153" s="27"/>
    </row>
    <row r="154" spans="1:4" x14ac:dyDescent="0.25">
      <c r="A154" s="24"/>
      <c r="B154" s="30"/>
      <c r="C154" s="15"/>
      <c r="D154" s="27"/>
    </row>
    <row r="155" spans="1:4" x14ac:dyDescent="0.25">
      <c r="A155" s="24"/>
      <c r="B155" s="30"/>
      <c r="C155" s="15"/>
      <c r="D155" s="27"/>
    </row>
    <row r="156" spans="1:4" x14ac:dyDescent="0.25">
      <c r="A156" s="24"/>
      <c r="B156" s="30"/>
      <c r="C156" s="15"/>
      <c r="D156" s="27"/>
    </row>
    <row r="157" spans="1:4" x14ac:dyDescent="0.25">
      <c r="A157" s="24"/>
      <c r="B157" s="30"/>
      <c r="C157" s="15"/>
      <c r="D157" s="27"/>
    </row>
    <row r="158" spans="1:4" x14ac:dyDescent="0.25">
      <c r="A158" s="24"/>
      <c r="B158" s="30"/>
      <c r="C158" s="15"/>
      <c r="D158" s="27"/>
    </row>
    <row r="159" spans="1:4" x14ac:dyDescent="0.25">
      <c r="A159" s="24"/>
      <c r="B159" s="30"/>
      <c r="C159" s="15"/>
      <c r="D159" s="27"/>
    </row>
    <row r="160" spans="1:4" x14ac:dyDescent="0.25">
      <c r="A160" s="24"/>
      <c r="B160" s="30"/>
      <c r="C160" s="15"/>
      <c r="D160" s="27"/>
    </row>
    <row r="161" spans="1:4" x14ac:dyDescent="0.25">
      <c r="A161" s="24"/>
      <c r="B161" s="30"/>
      <c r="C161" s="15"/>
      <c r="D161" s="27"/>
    </row>
    <row r="162" spans="1:4" x14ac:dyDescent="0.25">
      <c r="A162" s="24"/>
      <c r="B162" s="30"/>
      <c r="C162" s="15"/>
      <c r="D162" s="27"/>
    </row>
    <row r="163" spans="1:4" x14ac:dyDescent="0.25">
      <c r="A163" s="24"/>
      <c r="B163" s="30"/>
      <c r="C163" s="15"/>
      <c r="D163" s="27"/>
    </row>
    <row r="164" spans="1:4" x14ac:dyDescent="0.25">
      <c r="A164" s="24"/>
      <c r="B164" s="30"/>
      <c r="C164" s="15"/>
      <c r="D164" s="27"/>
    </row>
    <row r="165" spans="1:4" x14ac:dyDescent="0.25">
      <c r="A165" s="25"/>
      <c r="B165" s="31"/>
      <c r="C165" s="16"/>
      <c r="D165" s="28"/>
    </row>
  </sheetData>
  <conditionalFormatting sqref="A5:D5">
    <cfRule type="expression" dxfId="0" priority="1" stopIfTrue="1">
      <formula>$A$5&lt;&gt;""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Dolphin4POF</vt:lpstr>
      <vt:lpstr>Base</vt:lpstr>
      <vt:lpstr>Base1</vt:lpstr>
    </vt:vector>
  </TitlesOfParts>
  <Company>EUROCOPTER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L-Homme, Raphaelle</dc:creator>
  <cp:lastModifiedBy>2PAT</cp:lastModifiedBy>
  <dcterms:created xsi:type="dcterms:W3CDTF">2013-06-18T05:50:10Z</dcterms:created>
  <dcterms:modified xsi:type="dcterms:W3CDTF">2013-07-18T08:22:07Z</dcterms:modified>
</cp:coreProperties>
</file>