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202300"/>
  <mc:AlternateContent xmlns:mc="http://schemas.openxmlformats.org/markup-compatibility/2006">
    <mc:Choice Requires="x15">
      <x15ac:absPath xmlns:x15ac="http://schemas.microsoft.com/office/spreadsheetml/2010/11/ac" url="Z:\CLIENT\LE KANGTO\03 - METRE\"/>
    </mc:Choice>
  </mc:AlternateContent>
  <xr:revisionPtr revIDLastSave="0" documentId="13_ncr:1_{B974AC05-1E93-4EDF-85FE-7F4387DEA79A}" xr6:coauthVersionLast="47" xr6:coauthVersionMax="47" xr10:uidLastSave="{00000000-0000-0000-0000-000000000000}"/>
  <bookViews>
    <workbookView xWindow="28680" yWindow="-120" windowWidth="29040" windowHeight="15720" activeTab="7" xr2:uid="{9E785417-4947-4B45-9EC4-CD42A17B877B}"/>
  </bookViews>
  <sheets>
    <sheet name="Studio" sheetId="11" r:id="rId1"/>
    <sheet name="A1" sheetId="10" r:id="rId2"/>
    <sheet name="A2" sheetId="9" r:id="rId3"/>
    <sheet name="A3" sheetId="8" r:id="rId4"/>
    <sheet name="A4" sheetId="7" r:id="rId5"/>
    <sheet name="A5" sheetId="6" r:id="rId6"/>
    <sheet name="A6" sheetId="4" r:id="rId7"/>
    <sheet name="A7" sheetId="5" r:id="rId8"/>
    <sheet name="A8" sheetId="3" r:id="rId9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5" i="3" l="1"/>
  <c r="A75" i="5" a="1"/>
  <c r="A75" i="5" s="1"/>
  <c r="F12" i="3"/>
  <c r="F55" i="5"/>
  <c r="F41" i="5"/>
  <c r="F36" i="5"/>
  <c r="F21" i="5"/>
  <c r="A54" i="4" a="1"/>
  <c r="A54" i="4" s="1"/>
  <c r="A49" i="6" a="1"/>
  <c r="A49" i="6" s="1"/>
  <c r="A13" i="11" a="1"/>
  <c r="A13" i="11" s="1"/>
  <c r="A61" i="10" a="1"/>
  <c r="A61" i="10" s="1"/>
  <c r="A46" i="9" a="1"/>
  <c r="A46" i="9" s="1"/>
  <c r="A49" i="8" a="1"/>
  <c r="A49" i="8" s="1"/>
  <c r="A44" i="7" a="1"/>
  <c r="A44" i="7" s="1"/>
  <c r="F46" i="6"/>
  <c r="F43" i="6"/>
  <c r="F39" i="6"/>
  <c r="F30" i="6"/>
  <c r="F21" i="6"/>
  <c r="F12" i="6"/>
  <c r="F28" i="7"/>
  <c r="F19" i="7"/>
  <c r="F11" i="7"/>
  <c r="F46" i="8"/>
  <c r="F42" i="8"/>
  <c r="F33" i="8"/>
  <c r="F24" i="8"/>
  <c r="F16" i="8"/>
  <c r="F11" i="8"/>
  <c r="F11" i="9"/>
  <c r="F54" i="10"/>
  <c r="F46" i="10"/>
  <c r="F37" i="10"/>
  <c r="F10" i="10"/>
  <c r="F30" i="10"/>
  <c r="F22" i="10"/>
  <c r="F17" i="10"/>
  <c r="F10" i="11"/>
  <c r="F41" i="4"/>
  <c r="F11" i="4"/>
  <c r="F38" i="4"/>
  <c r="F32" i="4"/>
  <c r="F24" i="4"/>
  <c r="F18" i="4"/>
  <c r="E33" i="10" l="1"/>
  <c r="F33" i="10" s="1"/>
  <c r="C49" i="10"/>
  <c r="C40" i="10"/>
  <c r="C24" i="9"/>
  <c r="F24" i="9" s="1"/>
  <c r="C33" i="9"/>
  <c r="C19" i="8"/>
  <c r="F19" i="8" s="1"/>
  <c r="C27" i="8"/>
  <c r="F27" i="8" s="1"/>
  <c r="C36" i="8"/>
  <c r="C14" i="7"/>
  <c r="C22" i="7"/>
  <c r="F22" i="7" s="1"/>
  <c r="C24" i="6"/>
  <c r="F24" i="6" s="1"/>
  <c r="F8" i="11"/>
  <c r="C7" i="11"/>
  <c r="F9" i="11"/>
  <c r="F8" i="10"/>
  <c r="F43" i="10"/>
  <c r="F27" i="10"/>
  <c r="F28" i="10"/>
  <c r="F35" i="10"/>
  <c r="F44" i="10"/>
  <c r="F52" i="10"/>
  <c r="F15" i="10"/>
  <c r="C34" i="10"/>
  <c r="E41" i="10"/>
  <c r="D41" i="10"/>
  <c r="E50" i="10"/>
  <c r="D50" i="10"/>
  <c r="F50" i="10" s="1"/>
  <c r="E20" i="10"/>
  <c r="C20" i="10"/>
  <c r="F49" i="10"/>
  <c r="E13" i="10"/>
  <c r="C13" i="10"/>
  <c r="F45" i="10"/>
  <c r="F16" i="10"/>
  <c r="F53" i="10"/>
  <c r="F36" i="10"/>
  <c r="F29" i="10"/>
  <c r="F26" i="10"/>
  <c r="F25" i="10"/>
  <c r="F57" i="10"/>
  <c r="F21" i="10"/>
  <c r="F14" i="10"/>
  <c r="F9" i="10"/>
  <c r="F51" i="10"/>
  <c r="F42" i="10"/>
  <c r="F40" i="10"/>
  <c r="F7" i="10"/>
  <c r="F37" i="9"/>
  <c r="F28" i="9"/>
  <c r="F9" i="9"/>
  <c r="E34" i="9"/>
  <c r="D34" i="9"/>
  <c r="D35" i="9"/>
  <c r="F35" i="9" s="1"/>
  <c r="D26" i="9"/>
  <c r="F26" i="9" s="1"/>
  <c r="D25" i="9"/>
  <c r="E25" i="9"/>
  <c r="E33" i="9"/>
  <c r="E19" i="9"/>
  <c r="F19" i="9" s="1"/>
  <c r="E7" i="9"/>
  <c r="F7" i="9" s="1"/>
  <c r="E14" i="9"/>
  <c r="C14" i="9"/>
  <c r="F14" i="9" s="1"/>
  <c r="F42" i="9"/>
  <c r="F38" i="9"/>
  <c r="F29" i="9"/>
  <c r="F20" i="9"/>
  <c r="F10" i="9"/>
  <c r="F15" i="9"/>
  <c r="F36" i="9"/>
  <c r="F27" i="9"/>
  <c r="F8" i="9"/>
  <c r="F9" i="8"/>
  <c r="F21" i="8"/>
  <c r="F22" i="8"/>
  <c r="F31" i="8"/>
  <c r="D38" i="8"/>
  <c r="E37" i="8"/>
  <c r="F37" i="8" s="1"/>
  <c r="D29" i="8"/>
  <c r="F29" i="8" s="1"/>
  <c r="E28" i="8"/>
  <c r="D28" i="8"/>
  <c r="D20" i="8"/>
  <c r="E20" i="8"/>
  <c r="C14" i="8"/>
  <c r="E14" i="8"/>
  <c r="E7" i="8"/>
  <c r="C7" i="8"/>
  <c r="F45" i="8"/>
  <c r="F41" i="8"/>
  <c r="F32" i="8"/>
  <c r="F15" i="8"/>
  <c r="F10" i="8"/>
  <c r="F23" i="8"/>
  <c r="F40" i="8"/>
  <c r="F39" i="8"/>
  <c r="F38" i="8"/>
  <c r="E36" i="8"/>
  <c r="F30" i="8"/>
  <c r="F8" i="8"/>
  <c r="F26" i="7"/>
  <c r="F9" i="7"/>
  <c r="F17" i="7"/>
  <c r="F16" i="7"/>
  <c r="E32" i="7"/>
  <c r="F32" i="7" s="1"/>
  <c r="E23" i="7"/>
  <c r="F23" i="7" s="1"/>
  <c r="E15" i="7"/>
  <c r="F15" i="7" s="1"/>
  <c r="E31" i="7"/>
  <c r="F31" i="7" s="1"/>
  <c r="E7" i="7"/>
  <c r="C7" i="7"/>
  <c r="F7" i="7" s="1"/>
  <c r="F14" i="7"/>
  <c r="F40" i="7"/>
  <c r="F36" i="7"/>
  <c r="F27" i="7"/>
  <c r="F18" i="7"/>
  <c r="F10" i="7"/>
  <c r="F35" i="7"/>
  <c r="F34" i="7"/>
  <c r="F33" i="7"/>
  <c r="F25" i="7"/>
  <c r="F24" i="7"/>
  <c r="F8" i="7"/>
  <c r="F10" i="6"/>
  <c r="F36" i="6"/>
  <c r="F19" i="6"/>
  <c r="F18" i="6"/>
  <c r="F28" i="6"/>
  <c r="F9" i="6"/>
  <c r="D16" i="6"/>
  <c r="F16" i="6" s="1"/>
  <c r="E17" i="6"/>
  <c r="F17" i="6" s="1"/>
  <c r="E25" i="6"/>
  <c r="F25" i="6" s="1"/>
  <c r="E34" i="6"/>
  <c r="F34" i="6" s="1"/>
  <c r="D26" i="6"/>
  <c r="F26" i="6" s="1"/>
  <c r="D35" i="6"/>
  <c r="F35" i="6" s="1"/>
  <c r="E7" i="6"/>
  <c r="C7" i="6"/>
  <c r="E33" i="6"/>
  <c r="F33" i="6" s="1"/>
  <c r="F42" i="6"/>
  <c r="F38" i="6"/>
  <c r="F29" i="6"/>
  <c r="F20" i="6"/>
  <c r="F11" i="6"/>
  <c r="F37" i="6"/>
  <c r="F27" i="6"/>
  <c r="F15" i="6"/>
  <c r="F8" i="6"/>
  <c r="F71" i="5"/>
  <c r="F54" i="5"/>
  <c r="F46" i="5"/>
  <c r="F40" i="5"/>
  <c r="F35" i="5"/>
  <c r="F20" i="5"/>
  <c r="F12" i="5"/>
  <c r="F75" i="3"/>
  <c r="F71" i="3"/>
  <c r="F67" i="3"/>
  <c r="F52" i="3"/>
  <c r="F43" i="3"/>
  <c r="F37" i="3"/>
  <c r="F28" i="3"/>
  <c r="F21" i="3"/>
  <c r="F11" i="3"/>
  <c r="F7" i="6" l="1"/>
  <c r="F20" i="8"/>
  <c r="F28" i="8"/>
  <c r="F33" i="9"/>
  <c r="F7" i="11"/>
  <c r="F41" i="10"/>
  <c r="F34" i="10"/>
  <c r="F20" i="10"/>
  <c r="F13" i="10"/>
  <c r="F34" i="9"/>
  <c r="F25" i="9"/>
  <c r="F14" i="8"/>
  <c r="F36" i="8"/>
  <c r="F7" i="8"/>
  <c r="C67" i="8" l="1"/>
  <c r="C62" i="6"/>
  <c r="C65" i="6"/>
  <c r="C66" i="6"/>
  <c r="C60" i="6"/>
  <c r="C59" i="6"/>
  <c r="C31" i="11"/>
  <c r="C30" i="11"/>
  <c r="C27" i="11"/>
  <c r="C25" i="11"/>
  <c r="C24" i="11"/>
  <c r="C78" i="10"/>
  <c r="C77" i="10"/>
  <c r="C74" i="10"/>
  <c r="C72" i="10"/>
  <c r="C71" i="10"/>
  <c r="C64" i="9"/>
  <c r="C62" i="7"/>
  <c r="C61" i="7"/>
  <c r="C58" i="7"/>
  <c r="C56" i="7"/>
  <c r="C55" i="7"/>
  <c r="F10" i="5"/>
  <c r="F33" i="5"/>
  <c r="F39" i="5"/>
  <c r="E50" i="5"/>
  <c r="E44" i="5"/>
  <c r="C52" i="5"/>
  <c r="F52" i="5" s="1"/>
  <c r="E45" i="5"/>
  <c r="C69" i="5"/>
  <c r="E69" i="5"/>
  <c r="E30" i="5"/>
  <c r="E7" i="5"/>
  <c r="C61" i="8" l="1"/>
  <c r="C60" i="8"/>
  <c r="C63" i="8"/>
  <c r="C66" i="8"/>
  <c r="C57" i="9"/>
  <c r="C58" i="9"/>
  <c r="C60" i="9"/>
  <c r="C63" i="9"/>
  <c r="F34" i="5" l="1"/>
  <c r="F19" i="5"/>
  <c r="F11" i="5"/>
  <c r="F53" i="5"/>
  <c r="F70" i="5"/>
  <c r="F20" i="3"/>
  <c r="F51" i="3"/>
  <c r="F42" i="3"/>
  <c r="F36" i="3"/>
  <c r="F27" i="3"/>
  <c r="F10" i="3"/>
  <c r="F66" i="3"/>
  <c r="D26" i="5"/>
  <c r="F26" i="5" s="1"/>
  <c r="F27" i="5"/>
  <c r="F45" i="5"/>
  <c r="E51" i="5"/>
  <c r="E60" i="5"/>
  <c r="F60" i="5" s="1"/>
  <c r="E61" i="5"/>
  <c r="F61" i="5" s="1"/>
  <c r="E57" i="3"/>
  <c r="F57" i="3" s="1"/>
  <c r="E56" i="3"/>
  <c r="F56" i="3" s="1"/>
  <c r="F9" i="4"/>
  <c r="F16" i="4"/>
  <c r="F30" i="4"/>
  <c r="F37" i="4"/>
  <c r="C14" i="4"/>
  <c r="E28" i="4"/>
  <c r="F31" i="4"/>
  <c r="F17" i="4"/>
  <c r="F10" i="4"/>
  <c r="C59" i="3"/>
  <c r="E48" i="3"/>
  <c r="F48" i="3" s="1"/>
  <c r="E33" i="3"/>
  <c r="F33" i="3" s="1"/>
  <c r="E8" i="3"/>
  <c r="F8" i="3" s="1"/>
  <c r="E68" i="5"/>
  <c r="F68" i="5" s="1"/>
  <c r="E58" i="5"/>
  <c r="F58" i="5" s="1"/>
  <c r="F64" i="5"/>
  <c r="F65" i="5"/>
  <c r="F66" i="5"/>
  <c r="F67" i="5"/>
  <c r="F63" i="5"/>
  <c r="F62" i="5"/>
  <c r="F59" i="5"/>
  <c r="F50" i="5"/>
  <c r="C51" i="5"/>
  <c r="F44" i="5"/>
  <c r="E9" i="5"/>
  <c r="F9" i="5" s="1"/>
  <c r="E32" i="5"/>
  <c r="F32" i="5" s="1"/>
  <c r="F18" i="5"/>
  <c r="F31" i="5"/>
  <c r="F30" i="5"/>
  <c r="F25" i="5"/>
  <c r="F24" i="5"/>
  <c r="F17" i="5"/>
  <c r="F16" i="5"/>
  <c r="F8" i="5"/>
  <c r="F7" i="5"/>
  <c r="C35" i="4"/>
  <c r="F35" i="4" s="1"/>
  <c r="F28" i="4"/>
  <c r="C27" i="4"/>
  <c r="F29" i="4"/>
  <c r="F23" i="4"/>
  <c r="E21" i="4"/>
  <c r="C21" i="4"/>
  <c r="E15" i="4"/>
  <c r="F15" i="4" s="1"/>
  <c r="E7" i="4"/>
  <c r="F7" i="4" s="1"/>
  <c r="F36" i="4"/>
  <c r="F22" i="4"/>
  <c r="F8" i="4"/>
  <c r="C65" i="3"/>
  <c r="F65" i="3" s="1"/>
  <c r="C64" i="3"/>
  <c r="F64" i="3" s="1"/>
  <c r="C63" i="3"/>
  <c r="F63" i="3" s="1"/>
  <c r="C62" i="3"/>
  <c r="F62" i="3" s="1"/>
  <c r="C61" i="3"/>
  <c r="C60" i="3"/>
  <c r="C58" i="3"/>
  <c r="F58" i="3" s="1"/>
  <c r="E16" i="3"/>
  <c r="F16" i="3" s="1"/>
  <c r="E17" i="3"/>
  <c r="F17" i="3" s="1"/>
  <c r="E15" i="3"/>
  <c r="F15" i="3" s="1"/>
  <c r="E41" i="3"/>
  <c r="F41" i="3" s="1"/>
  <c r="D61" i="3"/>
  <c r="D60" i="3"/>
  <c r="D59" i="3"/>
  <c r="F50" i="3"/>
  <c r="F35" i="3"/>
  <c r="F9" i="3"/>
  <c r="F49" i="3"/>
  <c r="F47" i="3"/>
  <c r="F34" i="3"/>
  <c r="F32" i="3"/>
  <c r="F26" i="3"/>
  <c r="F25" i="3"/>
  <c r="A81" i="3" s="1" a="1"/>
  <c r="A81" i="3" s="1"/>
  <c r="F18" i="3"/>
  <c r="F7" i="3"/>
  <c r="E19" i="3"/>
  <c r="C19" i="3"/>
  <c r="G11" i="5" l="1"/>
  <c r="F69" i="5"/>
  <c r="F19" i="3"/>
  <c r="F61" i="3"/>
  <c r="F60" i="3"/>
  <c r="F51" i="5"/>
  <c r="F27" i="4"/>
  <c r="F21" i="4"/>
  <c r="F14" i="4"/>
  <c r="F59" i="3"/>
  <c r="C91" i="5" l="1"/>
  <c r="C88" i="5"/>
  <c r="C86" i="5"/>
  <c r="C85" i="5"/>
  <c r="C92" i="5"/>
  <c r="C65" i="4"/>
  <c r="C67" i="4"/>
  <c r="C64" i="4"/>
  <c r="C92" i="3" l="1"/>
  <c r="C93" i="3"/>
  <c r="C95" i="3"/>
  <c r="C98" i="3"/>
  <c r="C99" i="3"/>
  <c r="C71" i="4"/>
  <c r="C70" i="4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<sst xmlns="http://schemas.openxmlformats.org/spreadsheetml/2006/main" count="589" uniqueCount="76">
  <si>
    <t>Appartement 06</t>
  </si>
  <si>
    <t>Matériaux</t>
  </si>
  <si>
    <t>Quantité</t>
  </si>
  <si>
    <t>U</t>
  </si>
  <si>
    <t>Lambourde 27/60</t>
  </si>
  <si>
    <t>Lambourde 45/60</t>
  </si>
  <si>
    <t>Lame de parement Vieux Bois</t>
  </si>
  <si>
    <t>Annotation</t>
  </si>
  <si>
    <t>Ml</t>
  </si>
  <si>
    <t>M²</t>
  </si>
  <si>
    <t xml:space="preserve">Panneau 3 Plis 21mm : </t>
  </si>
  <si>
    <t xml:space="preserve"> - Planche calibré à 20cm</t>
  </si>
  <si>
    <t xml:space="preserve"> - Planche calibré à 12cm</t>
  </si>
  <si>
    <t>Calibrage à 25/60</t>
  </si>
  <si>
    <t>Margé 10% de perte</t>
  </si>
  <si>
    <t>Appartement 07</t>
  </si>
  <si>
    <t>Appartement 08</t>
  </si>
  <si>
    <t>Lame de parement Chêne</t>
  </si>
  <si>
    <t>Détail quantitatif</t>
  </si>
  <si>
    <t>Longeur</t>
  </si>
  <si>
    <t>Largeur</t>
  </si>
  <si>
    <t>Chambre 1</t>
  </si>
  <si>
    <t>Déduire</t>
  </si>
  <si>
    <t>TOTAL</t>
  </si>
  <si>
    <t>Dégagement / Entrée</t>
  </si>
  <si>
    <t>Plafond</t>
  </si>
  <si>
    <t>Chambre 2 Master</t>
  </si>
  <si>
    <t>Chambre 3</t>
  </si>
  <si>
    <t>Chambre 5</t>
  </si>
  <si>
    <t>Mur</t>
  </si>
  <si>
    <t>Ref</t>
  </si>
  <si>
    <t>Chambre 4</t>
  </si>
  <si>
    <t>Lit</t>
  </si>
  <si>
    <t>Corniche</t>
  </si>
  <si>
    <t xml:space="preserve">Trouvé manuellement : </t>
  </si>
  <si>
    <t>Salon/Cuisine/Séjour R+1</t>
  </si>
  <si>
    <t>LC 20x28</t>
  </si>
  <si>
    <t>HEB 160</t>
  </si>
  <si>
    <t>HEB 400</t>
  </si>
  <si>
    <t>HEB 320</t>
  </si>
  <si>
    <t>HEB 220</t>
  </si>
  <si>
    <t>HEB 260</t>
  </si>
  <si>
    <t>LC 20x32</t>
  </si>
  <si>
    <t>Poutre</t>
  </si>
  <si>
    <t>LC 14x32</t>
  </si>
  <si>
    <t>Perte estimée</t>
  </si>
  <si>
    <t>Séjour/Cuisine</t>
  </si>
  <si>
    <t>Dégagement/Entrée</t>
  </si>
  <si>
    <t>Chambre 2</t>
  </si>
  <si>
    <t>Chambre 1 Master</t>
  </si>
  <si>
    <t>Plafondbas</t>
  </si>
  <si>
    <t>Chambre 5 Master</t>
  </si>
  <si>
    <t>Salon/Séjour/Cuisine</t>
  </si>
  <si>
    <t>Cage d'escalier</t>
  </si>
  <si>
    <t>Encadrement</t>
  </si>
  <si>
    <t>Combles</t>
  </si>
  <si>
    <t>Boîte à rideau</t>
  </si>
  <si>
    <t>Plinthes</t>
  </si>
  <si>
    <t>Stockage</t>
  </si>
  <si>
    <t>Salle de cinéma</t>
  </si>
  <si>
    <t>Plinthe</t>
  </si>
  <si>
    <t>Cabine</t>
  </si>
  <si>
    <t>Séjour/Cuisine/Entrée</t>
  </si>
  <si>
    <t>Entrée</t>
  </si>
  <si>
    <t>Dégagement</t>
  </si>
  <si>
    <t>Entrée/Séjour/Cuisine</t>
  </si>
  <si>
    <t>Salon</t>
  </si>
  <si>
    <t>Studio</t>
  </si>
  <si>
    <t>Appartement 05</t>
  </si>
  <si>
    <t>Appartement 04</t>
  </si>
  <si>
    <t>Appartement 03</t>
  </si>
  <si>
    <t>Appartement 02</t>
  </si>
  <si>
    <t>Appartement 01</t>
  </si>
  <si>
    <t>Chambre 3 Master</t>
  </si>
  <si>
    <t>Parquet</t>
  </si>
  <si>
    <t>Dégagement / Entrée / Dressing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</si>
</sst>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General\ &quot;m&quot;"/>
    <numFmt numFmtId="165" formatCode="General\ &quot;m²&quot;"/>
    <numFmt numFmtId="166" formatCode="0.00&quot;m²&quot;"/>
    <numFmt numFmtId="167" formatCode="&quot;-&quot;0.00&quot;m²&quot;"/>
    <numFmt numFmtId="168" formatCode="0.00&quot;ml&quot;"/>
  </numFmts>
  <fonts count="6" x14ac:knownFonts="1">
    <font>
      <sz val="11"/>
      <color theme="1"/>
      <name val="Aptos Narrow"/>
      <family val="2"/>
      <scheme val="minor"/>
    </font>
    <font>
      <b/>
      <sz val="16"/>
      <color theme="1"/>
      <name val="Aptos Narrow"/>
      <family val="2"/>
      <scheme val="minor"/>
    </font>
    <font>
      <b/>
      <sz val="1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8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C66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3" fillId="0" borderId="0" applyFont="0" applyFill="0" applyBorder="0" applyAlignment="0" applyProtection="0"/>
  </cellStyleXfs>
  <cellXfs count="60">
    <xf numFmtId="0" fontId="0" fillId="0" borderId="0" xfId="0"/>
    <xf numFmtId="0" fontId="0" fillId="0" borderId="0" xfId="0" quotePrefix="1"/>
    <xf numFmtId="0" fontId="2" fillId="2" borderId="0" xfId="0" applyFont="1" applyFill="1" applyAlignment="1">
      <alignment horizontal="center"/>
    </xf>
    <xf numFmtId="0" fontId="2" fillId="2" borderId="0" xfId="0" applyFont="1" applyFill="1"/>
    <xf numFmtId="0" fontId="2" fillId="0" borderId="0" xfId="0" applyFont="1" applyAlignment="1">
      <alignment horizontal="center"/>
    </xf>
    <xf numFmtId="0" fontId="2" fillId="0" borderId="0" xfId="0" applyFont="1"/>
    <xf numFmtId="0" fontId="1" fillId="0" borderId="0" xfId="0" applyFont="1"/>
    <xf numFmtId="0" fontId="0" fillId="0" borderId="7" xfId="0" applyBorder="1"/>
    <xf numFmtId="0" fontId="0" fillId="0" borderId="8" xfId="0" applyBorder="1"/>
    <xf numFmtId="0" fontId="0" fillId="0" borderId="10" xfId="0" applyBorder="1"/>
    <xf numFmtId="0" fontId="0" fillId="0" borderId="11" xfId="0" applyBorder="1"/>
    <xf numFmtId="0" fontId="0" fillId="0" borderId="4" xfId="0" quotePrefix="1" applyBorder="1"/>
    <xf numFmtId="0" fontId="0" fillId="0" borderId="13" xfId="0" quotePrefix="1" applyBorder="1"/>
    <xf numFmtId="0" fontId="0" fillId="0" borderId="14" xfId="0" applyBorder="1"/>
    <xf numFmtId="0" fontId="0" fillId="0" borderId="13" xfId="0" applyBorder="1"/>
    <xf numFmtId="0" fontId="0" fillId="0" borderId="0" xfId="0" applyAlignment="1">
      <alignment horizontal="center"/>
    </xf>
    <xf numFmtId="0" fontId="4" fillId="2" borderId="0" xfId="0" applyFont="1" applyFill="1" applyAlignment="1">
      <alignment horizontal="center"/>
    </xf>
    <xf numFmtId="0" fontId="4" fillId="2" borderId="0" xfId="0" applyFont="1" applyFill="1"/>
    <xf numFmtId="164" fontId="0" fillId="0" borderId="0" xfId="0" applyNumberFormat="1" applyAlignment="1">
      <alignment horizontal="center"/>
    </xf>
    <xf numFmtId="165" fontId="4" fillId="0" borderId="0" xfId="0" applyNumberFormat="1" applyFont="1"/>
    <xf numFmtId="0" fontId="0" fillId="0" borderId="6" xfId="0" applyBorder="1" applyAlignment="1">
      <alignment horizontal="center"/>
    </xf>
    <xf numFmtId="2" fontId="0" fillId="0" borderId="0" xfId="0" applyNumberFormat="1" applyAlignment="1">
      <alignment horizontal="center"/>
    </xf>
    <xf numFmtId="166" fontId="4" fillId="0" borderId="0" xfId="0" applyNumberFormat="1" applyFont="1"/>
    <xf numFmtId="166" fontId="0" fillId="0" borderId="0" xfId="0" applyNumberFormat="1" applyAlignment="1">
      <alignment horizontal="center"/>
    </xf>
    <xf numFmtId="0" fontId="0" fillId="0" borderId="0" xfId="0" applyAlignment="1">
      <alignment horizontal="left"/>
    </xf>
    <xf numFmtId="167" fontId="0" fillId="0" borderId="0" xfId="0" applyNumberFormat="1"/>
    <xf numFmtId="2" fontId="0" fillId="0" borderId="0" xfId="0" applyNumberFormat="1"/>
    <xf numFmtId="168" fontId="4" fillId="0" borderId="0" xfId="0" applyNumberFormat="1" applyFont="1"/>
    <xf numFmtId="168" fontId="0" fillId="0" borderId="0" xfId="0" applyNumberFormat="1"/>
    <xf numFmtId="2" fontId="0" fillId="0" borderId="8" xfId="0" applyNumberFormat="1" applyBorder="1"/>
    <xf numFmtId="2" fontId="0" fillId="0" borderId="11" xfId="0" applyNumberFormat="1" applyBorder="1"/>
    <xf numFmtId="2" fontId="0" fillId="0" borderId="14" xfId="0" applyNumberFormat="1" applyBorder="1"/>
    <xf numFmtId="0" fontId="0" fillId="0" borderId="9" xfId="0" applyBorder="1"/>
    <xf numFmtId="9" fontId="0" fillId="0" borderId="8" xfId="1" applyFont="1" applyBorder="1" applyAlignment="1"/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166" fontId="0" fillId="0" borderId="0" xfId="0" applyNumberFormat="1"/>
    <xf numFmtId="0" fontId="4" fillId="0" borderId="0" xfId="0" applyFont="1"/>
    <xf numFmtId="0" fontId="0" fillId="0" borderId="0" xfId="0" applyAlignment="1">
      <alignment vertical="center"/>
    </xf>
    <xf numFmtId="166" fontId="0" fillId="0" borderId="0" xfId="0" applyNumberFormat="1" applyAlignment="1">
      <alignment vertical="center"/>
    </xf>
    <xf numFmtId="166" fontId="0" fillId="0" borderId="0" xfId="0" applyNumberFormat="1" applyAlignment="1">
      <alignment horizontal="right"/>
    </xf>
    <xf numFmtId="168" fontId="0" fillId="0" borderId="0" xfId="0" applyNumberFormat="1" applyAlignment="1">
      <alignment horizontal="right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colors>
    <mruColors>
      <color rgb="FFFFCC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F7F468-1767-48EE-9442-45F70E805504}">
  <dimension ref="A1:L67"/>
  <sheetViews>
    <sheetView view="pageLayout" zoomScaleNormal="100" workbookViewId="0">
      <selection activeCell="A13" sqref="A13"/>
    </sheetView>
  </sheetViews>
  <sheetFormatPr baseColWidth="10" defaultRowHeight="15" x14ac:dyDescent="0.25"/>
  <cols>
    <col min="1" max="1" width="31.28515625" customWidth="1"/>
    <col min="3" max="3" width="8.85546875" bestFit="1" customWidth="1"/>
    <col min="4" max="4" width="8.85546875" customWidth="1"/>
    <col min="5" max="5" width="8.5703125" customWidth="1"/>
    <col min="6" max="6" width="13.5703125" customWidth="1"/>
  </cols>
  <sheetData>
    <row r="1" spans="1:12" ht="15.75" thickBot="1" x14ac:dyDescent="0.3"/>
    <row r="2" spans="1:12" ht="21.75" thickBot="1" x14ac:dyDescent="0.4">
      <c r="A2" s="49" t="s">
        <v>67</v>
      </c>
      <c r="B2" s="50"/>
      <c r="C2" s="50"/>
      <c r="D2" s="50"/>
      <c r="E2" s="50"/>
      <c r="F2" s="51"/>
      <c r="G2" s="6"/>
      <c r="H2" s="6"/>
      <c r="I2" s="6"/>
      <c r="J2" s="6"/>
    </row>
    <row r="3" spans="1:12" ht="15.75" customHeight="1" x14ac:dyDescent="0.25"/>
    <row r="4" spans="1:12" x14ac:dyDescent="0.25">
      <c r="A4" s="16" t="s">
        <v>18</v>
      </c>
      <c r="B4" s="17" t="s">
        <v>30</v>
      </c>
      <c r="C4" s="16" t="s">
        <v>19</v>
      </c>
      <c r="D4" s="16" t="s">
        <v>20</v>
      </c>
      <c r="E4" s="16" t="s">
        <v>22</v>
      </c>
      <c r="F4" s="16" t="s">
        <v>23</v>
      </c>
    </row>
    <row r="5" spans="1:12" x14ac:dyDescent="0.25">
      <c r="D5" s="15"/>
      <c r="E5" s="23"/>
    </row>
    <row r="6" spans="1:12" x14ac:dyDescent="0.25">
      <c r="A6" s="20" t="s">
        <v>67</v>
      </c>
      <c r="C6" s="18"/>
      <c r="D6" s="18"/>
      <c r="E6" s="22"/>
    </row>
    <row r="7" spans="1:12" x14ac:dyDescent="0.25">
      <c r="A7" t="s">
        <v>29</v>
      </c>
      <c r="B7" s="24"/>
      <c r="C7" s="21">
        <f>0.8+1.7+0.1+0.4</f>
        <v>3</v>
      </c>
      <c r="D7" s="21">
        <v>2.4</v>
      </c>
      <c r="E7" s="25"/>
      <c r="F7" s="22">
        <f>C7*D7-E7</f>
        <v>7.1999999999999993</v>
      </c>
    </row>
    <row r="8" spans="1:12" x14ac:dyDescent="0.25">
      <c r="A8" t="s">
        <v>54</v>
      </c>
      <c r="B8" s="24"/>
      <c r="C8" s="21"/>
      <c r="E8" s="25"/>
      <c r="F8" s="27">
        <f>(2+2.15*2)</f>
        <v>6.3</v>
      </c>
    </row>
    <row r="9" spans="1:12" x14ac:dyDescent="0.25">
      <c r="A9" t="s">
        <v>60</v>
      </c>
      <c r="B9" s="24"/>
      <c r="C9" s="21"/>
      <c r="D9" s="21"/>
      <c r="E9" s="25"/>
      <c r="F9" s="27">
        <f>1+3.2+0.25+0.1+0.8+1.7+0.1+0.4+0.2</f>
        <v>7.75</v>
      </c>
    </row>
    <row r="10" spans="1:12" x14ac:dyDescent="0.25">
      <c r="A10" t="s">
        <v>74</v>
      </c>
      <c r="F10" s="22">
        <f>9.87</f>
        <v>9.8699999999999992</v>
      </c>
    </row>
    <row r="11" spans="1:12" ht="15.75" thickBot="1" x14ac:dyDescent="0.3"/>
    <row r="12" spans="1:12" ht="15.75" thickBot="1" x14ac:dyDescent="0.3">
      <c r="A12" s="41" t="s">
        <v>23</v>
      </c>
      <c r="B12" s="42"/>
    </row>
    <row r="13" spans="1:12" x14ac:dyDescent="0.25">
      <c r="A13" t="str" cm="1">
        <f t="array" ref="A13:B16">_xlfn.GROUPBY(A7:A10,F7:F10,_xleta.SUM,,0,,NOT(ISBLANK(F7:F10)))</f>
        <v>Encadrement</v>
      </c>
      <c r="B13" s="48">
        <v>6.3</v>
      </c>
    </row>
    <row r="14" spans="1:12" x14ac:dyDescent="0.25">
      <c r="A14" t="str">
        <v>Mur</v>
      </c>
      <c r="B14" s="43">
        <v>7.1999999999999993</v>
      </c>
    </row>
    <row r="15" spans="1:12" ht="15.75" customHeight="1" x14ac:dyDescent="0.25">
      <c r="A15" t="str">
        <v>Parquet</v>
      </c>
      <c r="B15" s="47">
        <v>9.8699999999999992</v>
      </c>
      <c r="G15" s="4"/>
      <c r="H15" s="5"/>
      <c r="I15" s="4"/>
      <c r="J15" s="4"/>
      <c r="K15" s="5"/>
      <c r="L15" s="4"/>
    </row>
    <row r="16" spans="1:12" ht="15.75" customHeight="1" x14ac:dyDescent="0.25">
      <c r="A16" t="str">
        <v>Plinthe</v>
      </c>
      <c r="B16" s="48">
        <v>7.75</v>
      </c>
    </row>
    <row r="17" spans="1:7" x14ac:dyDescent="0.25">
      <c r="B17" s="47"/>
    </row>
    <row r="18" spans="1:7" x14ac:dyDescent="0.25">
      <c r="B18" s="43"/>
    </row>
    <row r="22" spans="1:7" x14ac:dyDescent="0.25">
      <c r="A22" s="2" t="s">
        <v>1</v>
      </c>
      <c r="B22" s="3"/>
      <c r="C22" s="2" t="s">
        <v>2</v>
      </c>
      <c r="D22" s="2" t="s">
        <v>3</v>
      </c>
      <c r="E22" s="52" t="s">
        <v>7</v>
      </c>
      <c r="F22" s="52"/>
    </row>
    <row r="23" spans="1:7" x14ac:dyDescent="0.25">
      <c r="G23" s="1"/>
    </row>
    <row r="24" spans="1:7" x14ac:dyDescent="0.25">
      <c r="A24" s="9" t="s">
        <v>4</v>
      </c>
      <c r="B24" s="10"/>
      <c r="C24" s="30">
        <f>B16*2</f>
        <v>15.5</v>
      </c>
      <c r="D24" s="10" t="s">
        <v>8</v>
      </c>
      <c r="E24" s="34" t="s">
        <v>13</v>
      </c>
      <c r="F24" s="35"/>
      <c r="G24" s="1"/>
    </row>
    <row r="25" spans="1:7" x14ac:dyDescent="0.25">
      <c r="A25" s="14" t="s">
        <v>5</v>
      </c>
      <c r="B25" s="13"/>
      <c r="C25" s="31">
        <f>B15*2+B17*4+B13*4</f>
        <v>44.94</v>
      </c>
      <c r="D25" s="13" t="s">
        <v>8</v>
      </c>
      <c r="E25" s="37"/>
      <c r="F25" s="38"/>
    </row>
    <row r="27" spans="1:7" x14ac:dyDescent="0.25">
      <c r="A27" s="7" t="s">
        <v>6</v>
      </c>
      <c r="B27" s="8"/>
      <c r="C27" s="29">
        <f>(SUM(B15:B17)+B14*0.2+ROUNDUP(0.04*B13,1))*(1+E27)</f>
        <v>21.295999999999999</v>
      </c>
      <c r="D27" s="8" t="s">
        <v>9</v>
      </c>
      <c r="E27" s="33">
        <v>0.1</v>
      </c>
      <c r="F27" s="32" t="s">
        <v>45</v>
      </c>
    </row>
    <row r="29" spans="1:7" x14ac:dyDescent="0.25">
      <c r="A29" s="9" t="s">
        <v>10</v>
      </c>
      <c r="B29" s="10"/>
      <c r="C29" s="10"/>
      <c r="D29" s="10"/>
      <c r="E29" s="34"/>
      <c r="F29" s="35"/>
    </row>
    <row r="30" spans="1:7" x14ac:dyDescent="0.25">
      <c r="A30" s="11" t="s">
        <v>11</v>
      </c>
      <c r="C30">
        <f>B13*1</f>
        <v>6.3</v>
      </c>
      <c r="D30" t="s">
        <v>8</v>
      </c>
      <c r="E30" s="15"/>
      <c r="F30" s="36"/>
    </row>
    <row r="31" spans="1:7" x14ac:dyDescent="0.25">
      <c r="A31" s="12" t="s">
        <v>12</v>
      </c>
      <c r="B31" s="13"/>
      <c r="C31" s="13">
        <f>B13*2</f>
        <v>12.6</v>
      </c>
      <c r="D31" s="13" t="s">
        <v>8</v>
      </c>
      <c r="E31" s="37"/>
      <c r="F31" s="38"/>
    </row>
    <row r="32" spans="1:7" x14ac:dyDescent="0.25">
      <c r="B32" s="43"/>
      <c r="C32" s="21"/>
      <c r="D32" s="26"/>
      <c r="F32" s="22"/>
    </row>
    <row r="51" spans="1:6" x14ac:dyDescent="0.25">
      <c r="E51" s="53"/>
      <c r="F51" s="53"/>
    </row>
    <row r="52" spans="1:6" x14ac:dyDescent="0.25">
      <c r="E52" s="53"/>
      <c r="F52" s="53"/>
    </row>
    <row r="54" spans="1:6" x14ac:dyDescent="0.25">
      <c r="E54" s="15"/>
      <c r="F54" s="15"/>
    </row>
    <row r="56" spans="1:6" x14ac:dyDescent="0.25">
      <c r="E56" s="15"/>
      <c r="F56" s="15"/>
    </row>
    <row r="57" spans="1:6" x14ac:dyDescent="0.25">
      <c r="A57" s="1"/>
      <c r="E57" s="15"/>
      <c r="F57" s="15"/>
    </row>
    <row r="58" spans="1:6" x14ac:dyDescent="0.25">
      <c r="A58" s="1"/>
      <c r="E58" s="15"/>
      <c r="F58" s="15"/>
    </row>
    <row r="66" spans="1:1" x14ac:dyDescent="0.25">
      <c r="A66" s="1"/>
    </row>
    <row r="67" spans="1:1" x14ac:dyDescent="0.25">
      <c r="A67" s="1"/>
    </row>
  </sheetData>
  <mergeCells count="4">
    <mergeCell ref="A2:F2"/>
    <mergeCell ref="E22:F22"/>
    <mergeCell ref="E51:F51"/>
    <mergeCell ref="E52:F52"/>
  </mergeCells>
  <pageMargins left="0.7" right="0.7" top="0.75" bottom="0.75" header="0.3" footer="0.3"/>
  <pageSetup paperSize="9" orientation="portrait" horizontalDpi="0" verticalDpi="0" r:id="rId1"/>
  <headerFooter>
    <oddHeader>&amp;L
&amp;C&amp;"-,Gras"&amp;20METRE - LE KANGTO</oddHead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2A3249-5500-47BA-BD4F-966378824C65}">
  <dimension ref="A1:L115"/>
  <sheetViews>
    <sheetView view="pageLayout" topLeftCell="A48" zoomScaleNormal="100" workbookViewId="0">
      <selection activeCell="A61" sqref="A61"/>
    </sheetView>
  </sheetViews>
  <sheetFormatPr baseColWidth="10" defaultRowHeight="15" x14ac:dyDescent="0.25"/>
  <cols>
    <col min="1" max="1" width="31.28515625" customWidth="1"/>
    <col min="3" max="3" width="8.85546875" bestFit="1" customWidth="1"/>
    <col min="4" max="4" width="8.85546875" customWidth="1"/>
    <col min="5" max="5" width="8.5703125" customWidth="1"/>
    <col min="6" max="6" width="13.5703125" customWidth="1"/>
  </cols>
  <sheetData>
    <row r="1" spans="1:10" ht="15.75" thickBot="1" x14ac:dyDescent="0.3"/>
    <row r="2" spans="1:10" ht="21.75" thickBot="1" x14ac:dyDescent="0.4">
      <c r="A2" s="49" t="s">
        <v>72</v>
      </c>
      <c r="B2" s="50"/>
      <c r="C2" s="50"/>
      <c r="D2" s="50"/>
      <c r="E2" s="50"/>
      <c r="F2" s="51"/>
      <c r="G2" s="6"/>
      <c r="H2" s="6"/>
      <c r="I2" s="6"/>
      <c r="J2" s="6"/>
    </row>
    <row r="3" spans="1:10" ht="15.75" customHeight="1" x14ac:dyDescent="0.25"/>
    <row r="4" spans="1:10" x14ac:dyDescent="0.25">
      <c r="A4" s="16" t="s">
        <v>18</v>
      </c>
      <c r="B4" s="17" t="s">
        <v>30</v>
      </c>
      <c r="C4" s="16" t="s">
        <v>19</v>
      </c>
      <c r="D4" s="16" t="s">
        <v>20</v>
      </c>
      <c r="E4" s="16" t="s">
        <v>22</v>
      </c>
      <c r="F4" s="16" t="s">
        <v>23</v>
      </c>
    </row>
    <row r="5" spans="1:10" x14ac:dyDescent="0.25">
      <c r="D5" s="15"/>
      <c r="E5" s="23"/>
    </row>
    <row r="6" spans="1:10" x14ac:dyDescent="0.25">
      <c r="A6" s="20" t="s">
        <v>65</v>
      </c>
      <c r="C6" s="18"/>
      <c r="D6" s="18"/>
      <c r="E6" s="22"/>
    </row>
    <row r="7" spans="1:10" x14ac:dyDescent="0.25">
      <c r="A7" t="s">
        <v>25</v>
      </c>
      <c r="B7" s="24"/>
      <c r="C7" s="21">
        <v>2.0299999999999998</v>
      </c>
      <c r="D7" s="21">
        <v>3.58</v>
      </c>
      <c r="E7" s="25"/>
      <c r="F7" s="22">
        <f>C7*D7-E7</f>
        <v>7.2673999999999994</v>
      </c>
    </row>
    <row r="8" spans="1:10" x14ac:dyDescent="0.25">
      <c r="A8" t="s">
        <v>54</v>
      </c>
      <c r="B8" s="24"/>
      <c r="C8" s="21"/>
      <c r="E8" s="25"/>
      <c r="F8" s="27">
        <f>(2.4+2.15*2)</f>
        <v>6.6999999999999993</v>
      </c>
    </row>
    <row r="9" spans="1:10" x14ac:dyDescent="0.25">
      <c r="A9" t="s">
        <v>60</v>
      </c>
      <c r="B9" s="24"/>
      <c r="C9" s="21"/>
      <c r="D9" s="21"/>
      <c r="E9" s="25"/>
      <c r="F9" s="27">
        <f>1.4+0.2+0.4+0.1+0.3+1+1.9+0.3+0.2+0.2+2+8.1+1</f>
        <v>17.100000000000001</v>
      </c>
    </row>
    <row r="10" spans="1:10" x14ac:dyDescent="0.25">
      <c r="A10" t="s">
        <v>74</v>
      </c>
      <c r="F10" s="22">
        <f>34.7-7.3+0.65*0.7</f>
        <v>27.855</v>
      </c>
    </row>
    <row r="12" spans="1:10" x14ac:dyDescent="0.25">
      <c r="A12" s="20" t="s">
        <v>66</v>
      </c>
      <c r="C12" s="18"/>
      <c r="D12" s="18"/>
      <c r="E12" s="22"/>
    </row>
    <row r="13" spans="1:10" x14ac:dyDescent="0.25">
      <c r="A13" t="s">
        <v>29</v>
      </c>
      <c r="B13" s="24"/>
      <c r="C13" s="21">
        <f>6+4.5</f>
        <v>10.5</v>
      </c>
      <c r="D13" s="21">
        <v>2.4</v>
      </c>
      <c r="E13" s="25">
        <f>0.83*2.1+2.4*1.15</f>
        <v>4.5030000000000001</v>
      </c>
      <c r="F13" s="22">
        <f>C13*D13-E13</f>
        <v>20.696999999999999</v>
      </c>
    </row>
    <row r="14" spans="1:10" x14ac:dyDescent="0.25">
      <c r="A14" t="s">
        <v>25</v>
      </c>
      <c r="B14" s="24"/>
      <c r="C14" s="21">
        <v>5.14</v>
      </c>
      <c r="D14" s="21">
        <v>3.61</v>
      </c>
      <c r="E14" s="25"/>
      <c r="F14" s="22">
        <f>C14*D14-E14</f>
        <v>18.555399999999999</v>
      </c>
    </row>
    <row r="15" spans="1:10" x14ac:dyDescent="0.25">
      <c r="A15" t="s">
        <v>54</v>
      </c>
      <c r="B15" s="24"/>
      <c r="C15" s="21"/>
      <c r="E15" s="25"/>
      <c r="F15" s="27">
        <f>(2.4+2.15*2)+(2.4+1.15*2)</f>
        <v>11.399999999999999</v>
      </c>
    </row>
    <row r="16" spans="1:10" x14ac:dyDescent="0.25">
      <c r="A16" t="s">
        <v>60</v>
      </c>
      <c r="B16" s="24"/>
      <c r="C16" s="21"/>
      <c r="D16" s="21"/>
      <c r="E16" s="25"/>
      <c r="F16" s="27">
        <f>0.2+1.3+3.5+0.1+6+2.2+0.2+0.2+0.1+2+0.2</f>
        <v>15.999999999999998</v>
      </c>
    </row>
    <row r="17" spans="1:6" x14ac:dyDescent="0.25">
      <c r="A17" t="s">
        <v>74</v>
      </c>
      <c r="F17" s="22">
        <f>28.5</f>
        <v>28.5</v>
      </c>
    </row>
    <row r="18" spans="1:6" x14ac:dyDescent="0.25">
      <c r="B18" s="24"/>
      <c r="C18" s="21"/>
      <c r="D18" s="21"/>
      <c r="E18" s="25"/>
      <c r="F18" s="27"/>
    </row>
    <row r="19" spans="1:6" x14ac:dyDescent="0.25">
      <c r="A19" s="20" t="s">
        <v>64</v>
      </c>
      <c r="B19" s="24"/>
      <c r="C19" s="18"/>
      <c r="D19" s="18"/>
      <c r="E19" s="25"/>
      <c r="F19" s="19"/>
    </row>
    <row r="20" spans="1:6" x14ac:dyDescent="0.25">
      <c r="A20" t="s">
        <v>29</v>
      </c>
      <c r="B20" s="24"/>
      <c r="C20" s="21">
        <f>0.2+3.2+3.1</f>
        <v>6.5</v>
      </c>
      <c r="D20" s="21">
        <v>2.4</v>
      </c>
      <c r="E20" s="25">
        <f>0.83*2.1</f>
        <v>1.7429999999999999</v>
      </c>
      <c r="F20" s="22">
        <f>C20*D20-E20</f>
        <v>13.856999999999999</v>
      </c>
    </row>
    <row r="21" spans="1:6" x14ac:dyDescent="0.25">
      <c r="A21" t="s">
        <v>60</v>
      </c>
      <c r="B21" s="24"/>
      <c r="C21" s="21"/>
      <c r="D21" s="21"/>
      <c r="E21" s="25"/>
      <c r="F21" s="27">
        <f>4.2+0.1+2.2+0.1+0.1+0.1+3.1+2.1+0.3+0.2+0.2+0.1+0.3</f>
        <v>13.099999999999998</v>
      </c>
    </row>
    <row r="22" spans="1:6" x14ac:dyDescent="0.25">
      <c r="A22" t="s">
        <v>74</v>
      </c>
      <c r="F22" s="22">
        <f>10.12</f>
        <v>10.119999999999999</v>
      </c>
    </row>
    <row r="23" spans="1:6" x14ac:dyDescent="0.25">
      <c r="B23" s="24"/>
      <c r="C23" s="21"/>
      <c r="D23" s="21"/>
      <c r="E23" s="25"/>
      <c r="F23" s="27"/>
    </row>
    <row r="24" spans="1:6" x14ac:dyDescent="0.25">
      <c r="A24" s="20" t="s">
        <v>31</v>
      </c>
      <c r="B24" s="24"/>
      <c r="C24" s="18"/>
      <c r="D24" s="18"/>
      <c r="E24" s="25"/>
      <c r="F24" s="19"/>
    </row>
    <row r="25" spans="1:6" x14ac:dyDescent="0.25">
      <c r="A25" t="s">
        <v>32</v>
      </c>
      <c r="B25" s="24"/>
      <c r="C25" s="21">
        <v>3.5</v>
      </c>
      <c r="D25" s="21">
        <v>2.3199999999999998</v>
      </c>
      <c r="E25" s="25"/>
      <c r="F25" s="22">
        <f>C25*D25-E25</f>
        <v>8.1199999999999992</v>
      </c>
    </row>
    <row r="26" spans="1:6" x14ac:dyDescent="0.25">
      <c r="A26" t="s">
        <v>25</v>
      </c>
      <c r="B26" s="24"/>
      <c r="C26" s="21">
        <v>2.06</v>
      </c>
      <c r="D26" s="21">
        <v>2.62</v>
      </c>
      <c r="E26" s="25"/>
      <c r="F26" s="22">
        <f>C26*D26-E26</f>
        <v>5.3972000000000007</v>
      </c>
    </row>
    <row r="27" spans="1:6" x14ac:dyDescent="0.25">
      <c r="A27" t="s">
        <v>56</v>
      </c>
      <c r="B27" s="24"/>
      <c r="C27" s="21"/>
      <c r="D27" s="21"/>
      <c r="E27" s="25"/>
      <c r="F27" s="27">
        <f>(1.2+0.1+0.3)</f>
        <v>1.6</v>
      </c>
    </row>
    <row r="28" spans="1:6" x14ac:dyDescent="0.25">
      <c r="A28" t="s">
        <v>54</v>
      </c>
      <c r="B28" s="24"/>
      <c r="C28" s="21"/>
      <c r="D28" s="21"/>
      <c r="E28" s="25"/>
      <c r="F28" s="27">
        <f>(1.2+2.15*2)</f>
        <v>5.5</v>
      </c>
    </row>
    <row r="29" spans="1:6" x14ac:dyDescent="0.25">
      <c r="A29" t="s">
        <v>60</v>
      </c>
      <c r="B29" s="24"/>
      <c r="C29" s="21"/>
      <c r="D29" s="21"/>
      <c r="E29" s="25"/>
      <c r="F29" s="27">
        <f>0.1+4.1+0.2+1.7+3.5+0.1+0.6+0.1</f>
        <v>10.399999999999999</v>
      </c>
    </row>
    <row r="30" spans="1:6" x14ac:dyDescent="0.25">
      <c r="A30" t="s">
        <v>74</v>
      </c>
      <c r="F30" s="22">
        <f>12.6</f>
        <v>12.6</v>
      </c>
    </row>
    <row r="31" spans="1:6" x14ac:dyDescent="0.25">
      <c r="B31" s="24"/>
      <c r="C31" s="21"/>
      <c r="D31" s="21"/>
      <c r="E31" s="25"/>
      <c r="F31" s="27"/>
    </row>
    <row r="32" spans="1:6" x14ac:dyDescent="0.25">
      <c r="A32" s="20" t="s">
        <v>73</v>
      </c>
      <c r="B32" s="24"/>
      <c r="C32" s="18"/>
      <c r="D32" s="18"/>
      <c r="E32" s="25"/>
      <c r="F32" s="19"/>
    </row>
    <row r="33" spans="1:6" x14ac:dyDescent="0.25">
      <c r="A33" t="s">
        <v>32</v>
      </c>
      <c r="B33" s="24"/>
      <c r="C33" s="21">
        <v>3.1</v>
      </c>
      <c r="D33" s="21">
        <v>2.3199999999999998</v>
      </c>
      <c r="E33" s="25">
        <f>2*1.2</f>
        <v>2.4</v>
      </c>
      <c r="F33" s="22">
        <f>C33*D33-E33</f>
        <v>4.7919999999999998</v>
      </c>
    </row>
    <row r="34" spans="1:6" x14ac:dyDescent="0.25">
      <c r="A34" t="s">
        <v>25</v>
      </c>
      <c r="B34" s="24"/>
      <c r="C34" s="21">
        <f>2.53+1.01-0.48*2</f>
        <v>2.58</v>
      </c>
      <c r="D34" s="21">
        <v>2.0099999999999998</v>
      </c>
      <c r="E34" s="25"/>
      <c r="F34" s="22">
        <f>C34*D34-E34</f>
        <v>5.1857999999999995</v>
      </c>
    </row>
    <row r="35" spans="1:6" x14ac:dyDescent="0.25">
      <c r="A35" t="s">
        <v>54</v>
      </c>
      <c r="B35" s="24"/>
      <c r="C35" s="21"/>
      <c r="D35" s="21"/>
      <c r="E35" s="25"/>
      <c r="F35" s="27">
        <f>(1.6+1.15*2)+(2+2.15*2)</f>
        <v>10.199999999999999</v>
      </c>
    </row>
    <row r="36" spans="1:6" x14ac:dyDescent="0.25">
      <c r="A36" t="s">
        <v>60</v>
      </c>
      <c r="B36" s="24"/>
      <c r="C36" s="21"/>
      <c r="D36" s="21"/>
      <c r="E36" s="25"/>
      <c r="F36" s="27">
        <f>0.9+0.7+0.2+3.1+0.2+0.2+0.2+0.9+3.4+0.1+0.6+1.9</f>
        <v>12.4</v>
      </c>
    </row>
    <row r="37" spans="1:6" x14ac:dyDescent="0.25">
      <c r="A37" t="s">
        <v>74</v>
      </c>
      <c r="F37" s="22">
        <f>14.01</f>
        <v>14.01</v>
      </c>
    </row>
    <row r="39" spans="1:6" x14ac:dyDescent="0.25">
      <c r="A39" s="20" t="s">
        <v>48</v>
      </c>
      <c r="B39" s="24"/>
      <c r="C39" s="18"/>
      <c r="D39" s="18"/>
      <c r="E39" s="25"/>
      <c r="F39" s="19"/>
    </row>
    <row r="40" spans="1:6" x14ac:dyDescent="0.25">
      <c r="A40" t="s">
        <v>32</v>
      </c>
      <c r="B40" s="24"/>
      <c r="C40" s="21">
        <f>1.8</f>
        <v>1.8</v>
      </c>
      <c r="D40" s="21">
        <v>2.3199999999999998</v>
      </c>
      <c r="E40" s="25"/>
      <c r="F40" s="22">
        <f>C40*D40-E40</f>
        <v>4.1760000000000002</v>
      </c>
    </row>
    <row r="41" spans="1:6" x14ac:dyDescent="0.25">
      <c r="A41" t="s">
        <v>25</v>
      </c>
      <c r="B41" s="24"/>
      <c r="C41" s="21">
        <v>3.99</v>
      </c>
      <c r="D41" s="21">
        <f>0.43+0.07+1.9+0.07+0.42</f>
        <v>2.8899999999999997</v>
      </c>
      <c r="E41" s="25">
        <f>2.43*1.93</f>
        <v>4.6898999999999997</v>
      </c>
      <c r="F41" s="22">
        <f>C41*D41-E41</f>
        <v>6.8411999999999988</v>
      </c>
    </row>
    <row r="42" spans="1:6" x14ac:dyDescent="0.25">
      <c r="A42" t="s">
        <v>25</v>
      </c>
      <c r="B42" s="24"/>
      <c r="C42" s="21">
        <v>1.06</v>
      </c>
      <c r="D42" s="21">
        <v>0.8</v>
      </c>
      <c r="E42" s="25"/>
      <c r="F42" s="22">
        <f>C42*D42-E42</f>
        <v>0.84800000000000009</v>
      </c>
    </row>
    <row r="43" spans="1:6" x14ac:dyDescent="0.25">
      <c r="A43" t="s">
        <v>56</v>
      </c>
      <c r="B43" s="24"/>
      <c r="C43" s="21"/>
      <c r="D43" s="21"/>
      <c r="E43" s="25"/>
      <c r="F43" s="27">
        <f>1.6+0.1+0.3</f>
        <v>2</v>
      </c>
    </row>
    <row r="44" spans="1:6" x14ac:dyDescent="0.25">
      <c r="A44" t="s">
        <v>54</v>
      </c>
      <c r="B44" s="24"/>
      <c r="C44" s="21"/>
      <c r="D44" s="21"/>
      <c r="E44" s="25"/>
      <c r="F44" s="27">
        <f>1.6+1.15*2</f>
        <v>3.9</v>
      </c>
    </row>
    <row r="45" spans="1:6" x14ac:dyDescent="0.25">
      <c r="A45" t="s">
        <v>60</v>
      </c>
      <c r="B45" s="24"/>
      <c r="C45" s="21"/>
      <c r="D45" s="21"/>
      <c r="E45" s="25"/>
      <c r="F45" s="27">
        <f>0.1+3.6+3.3+0.1+0.6+1.9+0.6+0.1+1.3+0.1+0.8+0.1</f>
        <v>12.6</v>
      </c>
    </row>
    <row r="46" spans="1:6" x14ac:dyDescent="0.25">
      <c r="A46" t="s">
        <v>74</v>
      </c>
      <c r="F46" s="22">
        <f>12.31</f>
        <v>12.31</v>
      </c>
    </row>
    <row r="48" spans="1:6" x14ac:dyDescent="0.25">
      <c r="A48" s="20" t="s">
        <v>21</v>
      </c>
      <c r="B48" s="24"/>
      <c r="C48" s="18"/>
      <c r="D48" s="18"/>
      <c r="E48" s="25"/>
      <c r="F48" s="19"/>
    </row>
    <row r="49" spans="1:12" x14ac:dyDescent="0.25">
      <c r="A49" t="s">
        <v>32</v>
      </c>
      <c r="B49" s="24"/>
      <c r="C49" s="21">
        <f>1.9</f>
        <v>1.9</v>
      </c>
      <c r="D49" s="21">
        <v>2.3199999999999998</v>
      </c>
      <c r="E49" s="25"/>
      <c r="F49" s="22">
        <f>C49*D49-E49</f>
        <v>4.4079999999999995</v>
      </c>
    </row>
    <row r="50" spans="1:12" x14ac:dyDescent="0.25">
      <c r="A50" t="s">
        <v>25</v>
      </c>
      <c r="B50" s="24"/>
      <c r="C50" s="21">
        <v>4.05</v>
      </c>
      <c r="D50" s="21">
        <f>1.79+0.07+1.04</f>
        <v>2.9000000000000004</v>
      </c>
      <c r="E50" s="25">
        <f>2.49*1.94</f>
        <v>4.8306000000000004</v>
      </c>
      <c r="F50" s="22">
        <f>C50*D50-E50</f>
        <v>6.9144000000000005</v>
      </c>
    </row>
    <row r="51" spans="1:12" x14ac:dyDescent="0.25">
      <c r="A51" t="s">
        <v>56</v>
      </c>
      <c r="B51" s="24"/>
      <c r="C51" s="21"/>
      <c r="D51" s="21"/>
      <c r="E51" s="25"/>
      <c r="F51" s="27">
        <f>1.2+0.1+0.3</f>
        <v>1.6</v>
      </c>
    </row>
    <row r="52" spans="1:12" x14ac:dyDescent="0.25">
      <c r="A52" t="s">
        <v>54</v>
      </c>
      <c r="F52" s="27">
        <f>1.2+2.15*2</f>
        <v>5.5</v>
      </c>
    </row>
    <row r="53" spans="1:12" x14ac:dyDescent="0.25">
      <c r="A53" t="s">
        <v>60</v>
      </c>
      <c r="B53" s="24"/>
      <c r="C53" s="21"/>
      <c r="D53" s="21"/>
      <c r="E53" s="25"/>
      <c r="F53" s="27">
        <f>1.9+0.9+1.5+0.1+0.6+1.9+0.6+0.1+3.4+0.1</f>
        <v>11.099999999999998</v>
      </c>
    </row>
    <row r="54" spans="1:12" x14ac:dyDescent="0.25">
      <c r="A54" t="s">
        <v>74</v>
      </c>
      <c r="F54" s="22">
        <f>11.67</f>
        <v>11.67</v>
      </c>
    </row>
    <row r="56" spans="1:12" x14ac:dyDescent="0.25">
      <c r="A56" s="20" t="s">
        <v>61</v>
      </c>
      <c r="B56" s="24"/>
      <c r="C56" s="18"/>
      <c r="D56" s="18"/>
      <c r="E56" s="25"/>
      <c r="F56" s="19"/>
    </row>
    <row r="57" spans="1:12" x14ac:dyDescent="0.25">
      <c r="A57" t="s">
        <v>60</v>
      </c>
      <c r="B57" s="24"/>
      <c r="C57" s="21"/>
      <c r="D57" s="21"/>
      <c r="E57" s="25"/>
      <c r="F57" s="27">
        <f>1.3+0.1+0.6+1.1+2.5+1+0.3+0.9</f>
        <v>7.8</v>
      </c>
    </row>
    <row r="58" spans="1:12" x14ac:dyDescent="0.25">
      <c r="A58" t="s">
        <v>74</v>
      </c>
      <c r="F58" s="22">
        <v>5.19</v>
      </c>
    </row>
    <row r="59" spans="1:12" ht="15.75" thickBot="1" x14ac:dyDescent="0.3"/>
    <row r="60" spans="1:12" ht="15.75" thickBot="1" x14ac:dyDescent="0.3">
      <c r="A60" s="41" t="s">
        <v>23</v>
      </c>
      <c r="B60" s="42"/>
    </row>
    <row r="61" spans="1:12" x14ac:dyDescent="0.25">
      <c r="A61" t="str" cm="1">
        <f t="array" ref="A61:B67">_xlfn.GROUPBY(A7:A58,F7:F58,_xleta.SUM,,0,,NOT(ISBLANK(F7:F58)))</f>
        <v>Boîte à rideau</v>
      </c>
      <c r="B61" s="48">
        <v>5.2</v>
      </c>
    </row>
    <row r="62" spans="1:12" x14ac:dyDescent="0.25">
      <c r="A62" t="str">
        <v>Encadrement</v>
      </c>
      <c r="B62" s="28">
        <v>43.199999999999996</v>
      </c>
    </row>
    <row r="63" spans="1:12" ht="15.75" customHeight="1" x14ac:dyDescent="0.25">
      <c r="A63" t="str">
        <v>Lit</v>
      </c>
      <c r="B63" s="47">
        <v>21.496000000000002</v>
      </c>
      <c r="G63" s="4"/>
      <c r="H63" s="5"/>
      <c r="I63" s="4"/>
      <c r="J63" s="4"/>
      <c r="K63" s="5"/>
      <c r="L63" s="4"/>
    </row>
    <row r="64" spans="1:12" ht="15.75" customHeight="1" x14ac:dyDescent="0.25">
      <c r="A64" t="str">
        <v>Mur</v>
      </c>
      <c r="B64" s="47">
        <v>34.554000000000002</v>
      </c>
    </row>
    <row r="65" spans="1:7" x14ac:dyDescent="0.25">
      <c r="A65" t="str">
        <v>Parquet</v>
      </c>
      <c r="B65" s="47">
        <v>122.25500000000001</v>
      </c>
    </row>
    <row r="66" spans="1:7" x14ac:dyDescent="0.25">
      <c r="A66" t="str">
        <v>Plafond</v>
      </c>
      <c r="B66" s="43">
        <v>51.009399999999999</v>
      </c>
    </row>
    <row r="67" spans="1:7" x14ac:dyDescent="0.25">
      <c r="A67" t="str">
        <v>Plinthe</v>
      </c>
      <c r="B67" s="28">
        <v>100.49999999999999</v>
      </c>
    </row>
    <row r="69" spans="1:7" x14ac:dyDescent="0.25">
      <c r="A69" s="2" t="s">
        <v>1</v>
      </c>
      <c r="B69" s="3"/>
      <c r="C69" s="2" t="s">
        <v>2</v>
      </c>
      <c r="D69" s="2" t="s">
        <v>3</v>
      </c>
      <c r="E69" s="52" t="s">
        <v>7</v>
      </c>
      <c r="F69" s="52"/>
    </row>
    <row r="71" spans="1:7" x14ac:dyDescent="0.25">
      <c r="A71" s="9" t="s">
        <v>4</v>
      </c>
      <c r="B71" s="10"/>
      <c r="C71" s="30">
        <f>B64*2</f>
        <v>69.108000000000004</v>
      </c>
      <c r="D71" s="10" t="s">
        <v>8</v>
      </c>
      <c r="E71" s="54" t="s">
        <v>13</v>
      </c>
      <c r="F71" s="55"/>
      <c r="G71" s="1"/>
    </row>
    <row r="72" spans="1:7" x14ac:dyDescent="0.25">
      <c r="A72" s="14" t="s">
        <v>5</v>
      </c>
      <c r="B72" s="13"/>
      <c r="C72" s="31">
        <f>B63*2+B65*4+B61*4</f>
        <v>552.81200000000001</v>
      </c>
      <c r="D72" s="13" t="s">
        <v>8</v>
      </c>
      <c r="E72" s="37"/>
      <c r="F72" s="38"/>
      <c r="G72" s="1"/>
    </row>
    <row r="74" spans="1:7" x14ac:dyDescent="0.25">
      <c r="A74" s="7" t="s">
        <v>6</v>
      </c>
      <c r="B74" s="8"/>
      <c r="C74" s="29">
        <f>(SUM(B63:B65)+B62*0.2+ROUNDUP(0.04*B61,1))*(1+E74)</f>
        <v>205.96950000000001</v>
      </c>
      <c r="D74" s="8" t="s">
        <v>9</v>
      </c>
      <c r="E74" s="33">
        <v>0.1</v>
      </c>
      <c r="F74" s="32" t="s">
        <v>45</v>
      </c>
    </row>
    <row r="76" spans="1:7" x14ac:dyDescent="0.25">
      <c r="A76" s="9" t="s">
        <v>10</v>
      </c>
      <c r="B76" s="10"/>
      <c r="C76" s="10"/>
      <c r="D76" s="10"/>
      <c r="E76" s="34"/>
      <c r="F76" s="35"/>
    </row>
    <row r="77" spans="1:7" x14ac:dyDescent="0.25">
      <c r="A77" s="11" t="s">
        <v>11</v>
      </c>
      <c r="C77">
        <f>B61*1</f>
        <v>5.2</v>
      </c>
      <c r="D77" t="s">
        <v>8</v>
      </c>
      <c r="E77" s="15"/>
      <c r="F77" s="36"/>
    </row>
    <row r="78" spans="1:7" x14ac:dyDescent="0.25">
      <c r="A78" s="12" t="s">
        <v>12</v>
      </c>
      <c r="B78" s="13"/>
      <c r="C78" s="13">
        <f>B61*2</f>
        <v>10.4</v>
      </c>
      <c r="D78" s="13" t="s">
        <v>8</v>
      </c>
      <c r="E78" s="37"/>
      <c r="F78" s="38"/>
    </row>
    <row r="79" spans="1:7" x14ac:dyDescent="0.25">
      <c r="C79" s="21"/>
      <c r="D79" s="26"/>
      <c r="F79" s="28"/>
    </row>
    <row r="80" spans="1:7" x14ac:dyDescent="0.25">
      <c r="B80" s="43"/>
      <c r="C80" s="21"/>
      <c r="D80" s="26"/>
      <c r="F80" s="22"/>
    </row>
    <row r="99" spans="1:6" x14ac:dyDescent="0.25">
      <c r="E99" s="53"/>
      <c r="F99" s="53"/>
    </row>
    <row r="100" spans="1:6" x14ac:dyDescent="0.25">
      <c r="E100" s="53"/>
      <c r="F100" s="53"/>
    </row>
    <row r="102" spans="1:6" x14ac:dyDescent="0.25">
      <c r="E102" s="15"/>
      <c r="F102" s="15"/>
    </row>
    <row r="104" spans="1:6" x14ac:dyDescent="0.25">
      <c r="E104" s="15"/>
      <c r="F104" s="15"/>
    </row>
    <row r="105" spans="1:6" x14ac:dyDescent="0.25">
      <c r="A105" s="1"/>
      <c r="E105" s="15"/>
      <c r="F105" s="15"/>
    </row>
    <row r="106" spans="1:6" x14ac:dyDescent="0.25">
      <c r="A106" s="1"/>
      <c r="E106" s="15"/>
      <c r="F106" s="15"/>
    </row>
    <row r="114" spans="1:1" x14ac:dyDescent="0.25">
      <c r="A114" s="1"/>
    </row>
    <row r="115" spans="1:1" x14ac:dyDescent="0.25">
      <c r="A115" s="1"/>
    </row>
  </sheetData>
  <mergeCells count="5">
    <mergeCell ref="A2:F2"/>
    <mergeCell ref="E69:F69"/>
    <mergeCell ref="E71:F71"/>
    <mergeCell ref="E99:F99"/>
    <mergeCell ref="E100:F100"/>
  </mergeCells>
  <pageMargins left="0.7" right="0.7" top="0.75" bottom="0.75" header="0.3" footer="0.3"/>
  <pageSetup paperSize="9" orientation="portrait" horizontalDpi="0" verticalDpi="0" r:id="rId1"/>
  <headerFooter>
    <oddHeader>&amp;L
&amp;C&amp;"-,Gras"&amp;20METRE - LE KANGTO</oddHeader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DF78A8-2A17-4AA1-81B7-10BA7E2EF78D}">
  <dimension ref="A1:L100"/>
  <sheetViews>
    <sheetView view="pageLayout" topLeftCell="A35" zoomScaleNormal="100" workbookViewId="0">
      <selection activeCell="A47" sqref="A47"/>
    </sheetView>
  </sheetViews>
  <sheetFormatPr baseColWidth="10" defaultRowHeight="15" x14ac:dyDescent="0.25"/>
  <cols>
    <col min="1" max="1" width="31.28515625" customWidth="1"/>
    <col min="3" max="3" width="8.85546875" bestFit="1" customWidth="1"/>
    <col min="4" max="4" width="8.85546875" customWidth="1"/>
    <col min="5" max="5" width="8.5703125" customWidth="1"/>
    <col min="6" max="6" width="13.5703125" customWidth="1"/>
  </cols>
  <sheetData>
    <row r="1" spans="1:10" ht="15.75" thickBot="1" x14ac:dyDescent="0.3"/>
    <row r="2" spans="1:10" ht="21.75" thickBot="1" x14ac:dyDescent="0.4">
      <c r="A2" s="49" t="s">
        <v>71</v>
      </c>
      <c r="B2" s="50"/>
      <c r="C2" s="50"/>
      <c r="D2" s="50"/>
      <c r="E2" s="50"/>
      <c r="F2" s="51"/>
      <c r="G2" s="6"/>
      <c r="H2" s="6"/>
      <c r="I2" s="6"/>
      <c r="J2" s="6"/>
    </row>
    <row r="3" spans="1:10" ht="15.75" customHeight="1" x14ac:dyDescent="0.25"/>
    <row r="4" spans="1:10" x14ac:dyDescent="0.25">
      <c r="A4" s="16" t="s">
        <v>18</v>
      </c>
      <c r="B4" s="17" t="s">
        <v>30</v>
      </c>
      <c r="C4" s="16" t="s">
        <v>19</v>
      </c>
      <c r="D4" s="16" t="s">
        <v>20</v>
      </c>
      <c r="E4" s="16" t="s">
        <v>22</v>
      </c>
      <c r="F4" s="16" t="s">
        <v>23</v>
      </c>
    </row>
    <row r="5" spans="1:10" x14ac:dyDescent="0.25">
      <c r="D5" s="15"/>
      <c r="E5" s="23"/>
    </row>
    <row r="6" spans="1:10" x14ac:dyDescent="0.25">
      <c r="A6" s="20" t="s">
        <v>46</v>
      </c>
      <c r="C6" s="18"/>
      <c r="D6" s="18"/>
      <c r="E6" s="22"/>
    </row>
    <row r="7" spans="1:10" x14ac:dyDescent="0.25">
      <c r="A7" t="s">
        <v>29</v>
      </c>
      <c r="B7" s="24"/>
      <c r="C7" s="21">
        <v>7.8</v>
      </c>
      <c r="D7" s="21">
        <v>2.4</v>
      </c>
      <c r="E7" s="25">
        <f>0.81*2.1*2</f>
        <v>3.4020000000000006</v>
      </c>
      <c r="F7" s="22">
        <f>C7*D7-E7</f>
        <v>15.317999999999998</v>
      </c>
    </row>
    <row r="8" spans="1:10" x14ac:dyDescent="0.25">
      <c r="A8" t="s">
        <v>25</v>
      </c>
      <c r="B8" s="24"/>
      <c r="C8" s="21">
        <v>5.01</v>
      </c>
      <c r="D8" s="21">
        <v>3.21</v>
      </c>
      <c r="E8" s="25"/>
      <c r="F8" s="22">
        <f>C8*D8-E8</f>
        <v>16.082100000000001</v>
      </c>
    </row>
    <row r="9" spans="1:10" x14ac:dyDescent="0.25">
      <c r="A9" t="s">
        <v>54</v>
      </c>
      <c r="B9" s="24"/>
      <c r="C9" s="21"/>
      <c r="E9" s="25"/>
      <c r="F9" s="27">
        <f>(2.4+2.15*2)*2</f>
        <v>13.399999999999999</v>
      </c>
    </row>
    <row r="10" spans="1:10" x14ac:dyDescent="0.25">
      <c r="A10" t="s">
        <v>60</v>
      </c>
      <c r="B10" s="24"/>
      <c r="C10" s="21"/>
      <c r="D10" s="21"/>
      <c r="E10" s="25"/>
      <c r="F10" s="27">
        <f>0.1+0.1+0.1+0.1+0.9+3.5+0.8+0.2+0.2+0.4+0.2+0.2+0.2+5+0.2+1.8+2.9+0.7</f>
        <v>17.599999999999998</v>
      </c>
    </row>
    <row r="11" spans="1:10" x14ac:dyDescent="0.25">
      <c r="A11" t="s">
        <v>74</v>
      </c>
      <c r="F11" s="22">
        <f>41.16-5.11</f>
        <v>36.049999999999997</v>
      </c>
    </row>
    <row r="13" spans="1:10" x14ac:dyDescent="0.25">
      <c r="A13" s="20" t="s">
        <v>63</v>
      </c>
      <c r="B13" s="24"/>
      <c r="C13" s="18"/>
      <c r="D13" s="18"/>
      <c r="E13" s="25"/>
      <c r="F13" s="19"/>
    </row>
    <row r="14" spans="1:10" x14ac:dyDescent="0.25">
      <c r="A14" t="s">
        <v>29</v>
      </c>
      <c r="B14" s="24"/>
      <c r="C14" s="21">
        <f>3.9+1.3</f>
        <v>5.2</v>
      </c>
      <c r="D14" s="21">
        <v>2.4</v>
      </c>
      <c r="E14" s="25">
        <f>0.83*2.1</f>
        <v>1.7429999999999999</v>
      </c>
      <c r="F14" s="22">
        <f>C14*D14-E14</f>
        <v>10.737</v>
      </c>
    </row>
    <row r="15" spans="1:10" ht="15.75" customHeight="1" x14ac:dyDescent="0.25">
      <c r="A15" t="s">
        <v>60</v>
      </c>
      <c r="B15" s="24"/>
      <c r="C15" s="21"/>
      <c r="D15" s="21"/>
      <c r="E15" s="25"/>
      <c r="F15" s="27">
        <f>0.1+2.3+1.2+0.1+3</f>
        <v>6.6999999999999993</v>
      </c>
    </row>
    <row r="16" spans="1:10" x14ac:dyDescent="0.25">
      <c r="A16" t="s">
        <v>74</v>
      </c>
      <c r="F16" s="22">
        <v>6.5</v>
      </c>
    </row>
    <row r="17" spans="1:6" ht="15.75" customHeight="1" x14ac:dyDescent="0.25">
      <c r="B17" s="24"/>
      <c r="C17" s="21"/>
      <c r="D17" s="21"/>
      <c r="E17" s="25"/>
      <c r="F17" s="27"/>
    </row>
    <row r="18" spans="1:6" x14ac:dyDescent="0.25">
      <c r="A18" s="20" t="s">
        <v>64</v>
      </c>
      <c r="B18" s="24"/>
      <c r="C18" s="18"/>
      <c r="D18" s="18"/>
      <c r="E18" s="25"/>
      <c r="F18" s="19"/>
    </row>
    <row r="19" spans="1:6" x14ac:dyDescent="0.25">
      <c r="A19" t="s">
        <v>29</v>
      </c>
      <c r="B19" s="24"/>
      <c r="C19" s="21">
        <v>2.8</v>
      </c>
      <c r="D19" s="21">
        <v>2.4</v>
      </c>
      <c r="E19" s="25">
        <f>0.83*2.1</f>
        <v>1.7429999999999999</v>
      </c>
      <c r="F19" s="22">
        <f>C19*D19-E19</f>
        <v>4.9770000000000003</v>
      </c>
    </row>
    <row r="20" spans="1:6" ht="15.75" customHeight="1" x14ac:dyDescent="0.25">
      <c r="A20" t="s">
        <v>60</v>
      </c>
      <c r="B20" s="24"/>
      <c r="C20" s="21"/>
      <c r="D20" s="21"/>
      <c r="E20" s="25"/>
      <c r="F20" s="27">
        <f>0.1+1.8+0.1+0.2+1.8+0.1</f>
        <v>4.0999999999999996</v>
      </c>
    </row>
    <row r="21" spans="1:6" x14ac:dyDescent="0.25">
      <c r="A21" t="s">
        <v>74</v>
      </c>
      <c r="F21" s="22">
        <v>2.86</v>
      </c>
    </row>
    <row r="22" spans="1:6" x14ac:dyDescent="0.25">
      <c r="B22" s="24"/>
      <c r="C22" s="21"/>
      <c r="D22" s="21"/>
      <c r="E22" s="25"/>
      <c r="F22" s="22"/>
    </row>
    <row r="23" spans="1:6" x14ac:dyDescent="0.25">
      <c r="A23" s="20" t="s">
        <v>48</v>
      </c>
      <c r="B23" s="24"/>
      <c r="C23" s="18"/>
      <c r="D23" s="18"/>
      <c r="E23" s="25"/>
      <c r="F23" s="19"/>
    </row>
    <row r="24" spans="1:6" x14ac:dyDescent="0.25">
      <c r="A24" t="s">
        <v>32</v>
      </c>
      <c r="B24" s="24"/>
      <c r="C24" s="21">
        <f>1.8</f>
        <v>1.8</v>
      </c>
      <c r="D24" s="21">
        <v>2.3199999999999998</v>
      </c>
      <c r="E24" s="25"/>
      <c r="F24" s="22">
        <f>C24*D24-E24</f>
        <v>4.1760000000000002</v>
      </c>
    </row>
    <row r="25" spans="1:6" x14ac:dyDescent="0.25">
      <c r="A25" t="s">
        <v>25</v>
      </c>
      <c r="B25" s="24"/>
      <c r="C25" s="21">
        <v>2.79</v>
      </c>
      <c r="D25" s="21">
        <f>0.54+0.07+1.9+0.07+0.54</f>
        <v>3.1199999999999997</v>
      </c>
      <c r="E25" s="25">
        <f>2.15*1.83</f>
        <v>3.9344999999999999</v>
      </c>
      <c r="F25" s="22">
        <f>C25*D25-E25</f>
        <v>4.7702999999999989</v>
      </c>
    </row>
    <row r="26" spans="1:6" x14ac:dyDescent="0.25">
      <c r="A26" t="s">
        <v>25</v>
      </c>
      <c r="B26" s="24"/>
      <c r="C26" s="21">
        <v>0.98</v>
      </c>
      <c r="D26" s="21">
        <f>1.71+0.07</f>
        <v>1.78</v>
      </c>
      <c r="E26" s="25"/>
      <c r="F26" s="22">
        <f>C26*D26-E26</f>
        <v>1.7444</v>
      </c>
    </row>
    <row r="27" spans="1:6" x14ac:dyDescent="0.25">
      <c r="A27" t="s">
        <v>56</v>
      </c>
      <c r="B27" s="24"/>
      <c r="C27" s="21"/>
      <c r="D27" s="21"/>
      <c r="E27" s="25"/>
      <c r="F27" s="27">
        <f>1.2+0.1+0.3</f>
        <v>1.6</v>
      </c>
    </row>
    <row r="28" spans="1:6" x14ac:dyDescent="0.25">
      <c r="A28" t="s">
        <v>54</v>
      </c>
      <c r="B28" s="24"/>
      <c r="C28" s="21"/>
      <c r="D28" s="21"/>
      <c r="E28" s="25"/>
      <c r="F28" s="27">
        <f>(1.2+2.15*2)</f>
        <v>5.5</v>
      </c>
    </row>
    <row r="29" spans="1:6" x14ac:dyDescent="0.25">
      <c r="A29" t="s">
        <v>60</v>
      </c>
      <c r="B29" s="24"/>
      <c r="C29" s="21"/>
      <c r="D29" s="21"/>
      <c r="E29" s="25"/>
      <c r="F29" s="27">
        <f>4.8+0.6+0.2+0.2+0.5+0.6+1.9+0.6+1.2+0.1+0.7+0.1</f>
        <v>11.499999999999996</v>
      </c>
    </row>
    <row r="30" spans="1:6" x14ac:dyDescent="0.25">
      <c r="A30" t="s">
        <v>74</v>
      </c>
      <c r="F30" s="22">
        <v>10.35</v>
      </c>
    </row>
    <row r="32" spans="1:6" x14ac:dyDescent="0.25">
      <c r="A32" s="20" t="s">
        <v>49</v>
      </c>
      <c r="B32" s="24"/>
      <c r="C32" s="18"/>
      <c r="D32" s="18"/>
      <c r="E32" s="25"/>
      <c r="F32" s="19"/>
    </row>
    <row r="33" spans="1:12" x14ac:dyDescent="0.25">
      <c r="A33" t="s">
        <v>32</v>
      </c>
      <c r="B33" s="24"/>
      <c r="C33" s="21">
        <f>2</f>
        <v>2</v>
      </c>
      <c r="D33" s="21">
        <v>2.3199999999999998</v>
      </c>
      <c r="E33" s="25">
        <f>2*1.2</f>
        <v>2.4</v>
      </c>
      <c r="F33" s="22">
        <f>C33*D33-E33</f>
        <v>2.2399999999999998</v>
      </c>
    </row>
    <row r="34" spans="1:12" x14ac:dyDescent="0.25">
      <c r="A34" t="s">
        <v>25</v>
      </c>
      <c r="B34" s="24"/>
      <c r="C34" s="21">
        <v>3.29</v>
      </c>
      <c r="D34" s="21">
        <f>0.47+0.07+2.06+0.07+0.49</f>
        <v>3.16</v>
      </c>
      <c r="E34" s="25">
        <f>2.2*2.01</f>
        <v>4.4219999999999997</v>
      </c>
      <c r="F34" s="22">
        <f>C34*D34-E34</f>
        <v>5.9744000000000002</v>
      </c>
    </row>
    <row r="35" spans="1:12" x14ac:dyDescent="0.25">
      <c r="A35" t="s">
        <v>25</v>
      </c>
      <c r="B35" s="24"/>
      <c r="C35" s="21">
        <v>0.93</v>
      </c>
      <c r="D35" s="21">
        <f>2.45+0.14</f>
        <v>2.5900000000000003</v>
      </c>
      <c r="E35" s="25"/>
      <c r="F35" s="22">
        <f>C35*D35-E35</f>
        <v>2.4087000000000005</v>
      </c>
    </row>
    <row r="36" spans="1:12" x14ac:dyDescent="0.25">
      <c r="A36" t="s">
        <v>56</v>
      </c>
      <c r="B36" s="24"/>
      <c r="C36" s="21"/>
      <c r="D36" s="21"/>
      <c r="E36" s="25"/>
      <c r="F36" s="27">
        <f>1.2+0.1+0.3</f>
        <v>1.6</v>
      </c>
    </row>
    <row r="37" spans="1:12" x14ac:dyDescent="0.25">
      <c r="A37" t="s">
        <v>54</v>
      </c>
      <c r="F37" s="27">
        <f>1.2+2.15*2</f>
        <v>5.5</v>
      </c>
    </row>
    <row r="38" spans="1:12" x14ac:dyDescent="0.25">
      <c r="A38" t="s">
        <v>60</v>
      </c>
      <c r="B38" s="24"/>
      <c r="C38" s="21"/>
      <c r="D38" s="21"/>
      <c r="E38" s="25"/>
      <c r="F38" s="27">
        <f>4.9+0.4+1.3+0.6+2+0.6+1.7+0.7+1.2+0.9</f>
        <v>14.299999999999997</v>
      </c>
    </row>
    <row r="39" spans="1:12" x14ac:dyDescent="0.25">
      <c r="A39" t="s">
        <v>74</v>
      </c>
      <c r="F39" s="22">
        <v>12.94</v>
      </c>
    </row>
    <row r="41" spans="1:12" x14ac:dyDescent="0.25">
      <c r="A41" s="20" t="s">
        <v>61</v>
      </c>
      <c r="B41" s="24"/>
      <c r="C41" s="18"/>
      <c r="D41" s="18"/>
      <c r="E41" s="25"/>
      <c r="F41" s="19"/>
    </row>
    <row r="42" spans="1:12" x14ac:dyDescent="0.25">
      <c r="A42" t="s">
        <v>60</v>
      </c>
      <c r="B42" s="24"/>
      <c r="C42" s="21"/>
      <c r="D42" s="21"/>
      <c r="E42" s="25"/>
      <c r="F42" s="27">
        <f>0.5+1+2.1+1+0.6+0.1</f>
        <v>5.2999999999999989</v>
      </c>
    </row>
    <row r="43" spans="1:12" x14ac:dyDescent="0.25">
      <c r="A43" t="s">
        <v>74</v>
      </c>
      <c r="F43" s="22">
        <v>3.93</v>
      </c>
    </row>
    <row r="44" spans="1:12" ht="15.75" thickBot="1" x14ac:dyDescent="0.3"/>
    <row r="45" spans="1:12" ht="15.75" thickBot="1" x14ac:dyDescent="0.3">
      <c r="A45" s="41" t="s">
        <v>23</v>
      </c>
      <c r="B45" s="42"/>
    </row>
    <row r="46" spans="1:12" x14ac:dyDescent="0.25">
      <c r="A46" t="str" cm="1">
        <f t="array" ref="A46:B52">_xlfn.GROUPBY(A7:A43,F7:F43,_xleta.SUM,,0,,NOT(ISBLANK(F7:F43)))</f>
        <v>Boîte à rideau</v>
      </c>
      <c r="B46" s="48">
        <v>3.2</v>
      </c>
    </row>
    <row r="47" spans="1:12" x14ac:dyDescent="0.25">
      <c r="A47" t="str">
        <v>Encadrement</v>
      </c>
      <c r="B47" s="28">
        <v>24.4</v>
      </c>
    </row>
    <row r="48" spans="1:12" ht="15.75" customHeight="1" x14ac:dyDescent="0.25">
      <c r="A48" t="str">
        <v>Lit</v>
      </c>
      <c r="B48" s="47">
        <v>6.4160000000000004</v>
      </c>
      <c r="G48" s="4"/>
      <c r="H48" s="5"/>
      <c r="I48" s="4"/>
      <c r="J48" s="4"/>
      <c r="K48" s="5"/>
      <c r="L48" s="4"/>
    </row>
    <row r="49" spans="1:7" ht="15.75" customHeight="1" x14ac:dyDescent="0.25">
      <c r="A49" t="str">
        <v>Mur</v>
      </c>
      <c r="B49" s="47">
        <v>31.032</v>
      </c>
    </row>
    <row r="50" spans="1:7" x14ac:dyDescent="0.25">
      <c r="A50" t="str">
        <v>Parquet</v>
      </c>
      <c r="B50" s="47">
        <v>72.63000000000001</v>
      </c>
    </row>
    <row r="51" spans="1:7" x14ac:dyDescent="0.25">
      <c r="A51" t="str">
        <v>Plafond</v>
      </c>
      <c r="B51" s="43">
        <v>30.979899999999997</v>
      </c>
    </row>
    <row r="52" spans="1:7" x14ac:dyDescent="0.25">
      <c r="A52" t="str">
        <v>Plinthe</v>
      </c>
      <c r="B52" s="28">
        <v>59.499999999999986</v>
      </c>
    </row>
    <row r="55" spans="1:7" x14ac:dyDescent="0.25">
      <c r="A55" s="2" t="s">
        <v>1</v>
      </c>
      <c r="B55" s="3"/>
      <c r="C55" s="2" t="s">
        <v>2</v>
      </c>
      <c r="D55" s="2" t="s">
        <v>3</v>
      </c>
      <c r="E55" s="52" t="s">
        <v>7</v>
      </c>
      <c r="F55" s="52"/>
    </row>
    <row r="56" spans="1:7" x14ac:dyDescent="0.25">
      <c r="G56" s="1"/>
    </row>
    <row r="57" spans="1:7" x14ac:dyDescent="0.25">
      <c r="A57" s="9" t="s">
        <v>4</v>
      </c>
      <c r="B57" s="10"/>
      <c r="C57" s="30">
        <f>B49*2</f>
        <v>62.064</v>
      </c>
      <c r="D57" s="10" t="s">
        <v>8</v>
      </c>
      <c r="E57" s="34" t="s">
        <v>13</v>
      </c>
      <c r="F57" s="35"/>
      <c r="G57" s="1"/>
    </row>
    <row r="58" spans="1:7" x14ac:dyDescent="0.25">
      <c r="A58" s="14" t="s">
        <v>5</v>
      </c>
      <c r="B58" s="13"/>
      <c r="C58" s="31">
        <f>B48*2+B50*4+B46*4</f>
        <v>316.15200000000004</v>
      </c>
      <c r="D58" s="13" t="s">
        <v>8</v>
      </c>
      <c r="E58" s="37"/>
      <c r="F58" s="38"/>
    </row>
    <row r="60" spans="1:7" x14ac:dyDescent="0.25">
      <c r="A60" s="7" t="s">
        <v>6</v>
      </c>
      <c r="B60" s="8"/>
      <c r="C60" s="29">
        <f>(SUM(B48:B50)+B47*0.2+ROUNDUP(0.04*B46,1))*(1+E60)</f>
        <v>126.67380000000001</v>
      </c>
      <c r="D60" s="8" t="s">
        <v>9</v>
      </c>
      <c r="E60" s="33">
        <v>0.1</v>
      </c>
      <c r="F60" s="32" t="s">
        <v>45</v>
      </c>
    </row>
    <row r="62" spans="1:7" x14ac:dyDescent="0.25">
      <c r="A62" s="9" t="s">
        <v>10</v>
      </c>
      <c r="B62" s="10"/>
      <c r="C62" s="10"/>
      <c r="D62" s="10"/>
      <c r="E62" s="34"/>
      <c r="F62" s="35"/>
    </row>
    <row r="63" spans="1:7" x14ac:dyDescent="0.25">
      <c r="A63" s="11" t="s">
        <v>11</v>
      </c>
      <c r="C63">
        <f>B46*1</f>
        <v>3.2</v>
      </c>
      <c r="D63" t="s">
        <v>8</v>
      </c>
      <c r="E63" s="15"/>
      <c r="F63" s="36"/>
    </row>
    <row r="64" spans="1:7" x14ac:dyDescent="0.25">
      <c r="A64" s="12" t="s">
        <v>12</v>
      </c>
      <c r="B64" s="13"/>
      <c r="C64" s="13">
        <f>B46*2</f>
        <v>6.4</v>
      </c>
      <c r="D64" s="13" t="s">
        <v>8</v>
      </c>
      <c r="E64" s="37"/>
      <c r="F64" s="38"/>
    </row>
    <row r="65" spans="2:6" x14ac:dyDescent="0.25">
      <c r="B65" s="43"/>
      <c r="C65" s="21"/>
      <c r="D65" s="26"/>
      <c r="F65" s="22"/>
    </row>
    <row r="84" spans="1:6" x14ac:dyDescent="0.25">
      <c r="E84" s="53"/>
      <c r="F84" s="53"/>
    </row>
    <row r="85" spans="1:6" x14ac:dyDescent="0.25">
      <c r="E85" s="53"/>
      <c r="F85" s="53"/>
    </row>
    <row r="87" spans="1:6" x14ac:dyDescent="0.25">
      <c r="E87" s="15"/>
      <c r="F87" s="15"/>
    </row>
    <row r="89" spans="1:6" x14ac:dyDescent="0.25">
      <c r="E89" s="15"/>
      <c r="F89" s="15"/>
    </row>
    <row r="90" spans="1:6" x14ac:dyDescent="0.25">
      <c r="A90" s="1"/>
      <c r="E90" s="15"/>
      <c r="F90" s="15"/>
    </row>
    <row r="91" spans="1:6" x14ac:dyDescent="0.25">
      <c r="A91" s="1"/>
      <c r="E91" s="15"/>
      <c r="F91" s="15"/>
    </row>
    <row r="99" spans="1:1" x14ac:dyDescent="0.25">
      <c r="A99" s="1"/>
    </row>
    <row r="100" spans="1:1" x14ac:dyDescent="0.25">
      <c r="A100" s="1"/>
    </row>
  </sheetData>
  <mergeCells count="4">
    <mergeCell ref="A2:F2"/>
    <mergeCell ref="E55:F55"/>
    <mergeCell ref="E84:F84"/>
    <mergeCell ref="E85:F85"/>
  </mergeCells>
  <pageMargins left="0.7" right="0.7" top="0.75" bottom="0.75" header="0.3" footer="0.3"/>
  <pageSetup paperSize="9" orientation="portrait" horizontalDpi="0" verticalDpi="0" r:id="rId1"/>
  <headerFooter>
    <oddHeader>&amp;L
&amp;C&amp;"-,Gras"&amp;20METRE - LE KANGTO</oddHeader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FBAE6D-16BD-4E74-A47D-D0F843CC6436}">
  <dimension ref="A1:L103"/>
  <sheetViews>
    <sheetView view="pageLayout" topLeftCell="A32" zoomScaleNormal="100" workbookViewId="0">
      <selection activeCell="A50" sqref="A50"/>
    </sheetView>
  </sheetViews>
  <sheetFormatPr baseColWidth="10" defaultRowHeight="15" x14ac:dyDescent="0.25"/>
  <cols>
    <col min="1" max="1" width="31.28515625" customWidth="1"/>
    <col min="3" max="3" width="8.85546875" bestFit="1" customWidth="1"/>
    <col min="4" max="4" width="8.85546875" customWidth="1"/>
    <col min="5" max="5" width="8.5703125" customWidth="1"/>
    <col min="6" max="6" width="13.5703125" customWidth="1"/>
  </cols>
  <sheetData>
    <row r="1" spans="1:10" ht="15.75" thickBot="1" x14ac:dyDescent="0.3"/>
    <row r="2" spans="1:10" ht="21.75" thickBot="1" x14ac:dyDescent="0.4">
      <c r="A2" s="49" t="s">
        <v>70</v>
      </c>
      <c r="B2" s="50"/>
      <c r="C2" s="50"/>
      <c r="D2" s="50"/>
      <c r="E2" s="50"/>
      <c r="F2" s="51"/>
      <c r="G2" s="6"/>
      <c r="H2" s="6"/>
      <c r="I2" s="6"/>
      <c r="J2" s="6"/>
    </row>
    <row r="3" spans="1:10" ht="15.75" customHeight="1" x14ac:dyDescent="0.25"/>
    <row r="4" spans="1:10" x14ac:dyDescent="0.25">
      <c r="A4" s="16" t="s">
        <v>18</v>
      </c>
      <c r="B4" s="17" t="s">
        <v>30</v>
      </c>
      <c r="C4" s="16" t="s">
        <v>19</v>
      </c>
      <c r="D4" s="16" t="s">
        <v>20</v>
      </c>
      <c r="E4" s="16" t="s">
        <v>22</v>
      </c>
      <c r="F4" s="16" t="s">
        <v>23</v>
      </c>
    </row>
    <row r="5" spans="1:10" x14ac:dyDescent="0.25">
      <c r="D5" s="15"/>
      <c r="E5" s="23"/>
    </row>
    <row r="6" spans="1:10" x14ac:dyDescent="0.25">
      <c r="A6" s="20" t="s">
        <v>46</v>
      </c>
      <c r="C6" s="18"/>
      <c r="D6" s="18"/>
      <c r="E6" s="22"/>
    </row>
    <row r="7" spans="1:10" x14ac:dyDescent="0.25">
      <c r="A7" t="s">
        <v>29</v>
      </c>
      <c r="B7" s="24"/>
      <c r="C7" s="21">
        <f>6</f>
        <v>6</v>
      </c>
      <c r="D7" s="21">
        <v>2.4</v>
      </c>
      <c r="E7" s="25">
        <f>2.4*2.12</f>
        <v>5.0880000000000001</v>
      </c>
      <c r="F7" s="22">
        <f>C7*D7-E7</f>
        <v>9.3119999999999976</v>
      </c>
    </row>
    <row r="8" spans="1:10" x14ac:dyDescent="0.25">
      <c r="A8" t="s">
        <v>25</v>
      </c>
      <c r="B8" s="24"/>
      <c r="C8" s="21">
        <v>6.29</v>
      </c>
      <c r="D8" s="21">
        <v>2.4</v>
      </c>
      <c r="E8" s="25"/>
      <c r="F8" s="22">
        <f>C8*D8-E8</f>
        <v>15.096</v>
      </c>
    </row>
    <row r="9" spans="1:10" x14ac:dyDescent="0.25">
      <c r="A9" t="s">
        <v>54</v>
      </c>
      <c r="B9" s="24"/>
      <c r="C9" s="21"/>
      <c r="E9" s="25"/>
      <c r="F9" s="27">
        <f>(2.4+2.12*2)+(2.4+2.12*2)</f>
        <v>13.280000000000001</v>
      </c>
    </row>
    <row r="10" spans="1:10" x14ac:dyDescent="0.25">
      <c r="A10" t="s">
        <v>60</v>
      </c>
      <c r="B10" s="24"/>
      <c r="C10" s="21"/>
      <c r="D10" s="21"/>
      <c r="E10" s="25"/>
      <c r="F10" s="27">
        <f>3.3+1.4+0.2+0.2+1.1+2.1+0.2+0.2+1.6+2.4</f>
        <v>12.699999999999998</v>
      </c>
    </row>
    <row r="11" spans="1:10" x14ac:dyDescent="0.25">
      <c r="A11" t="s">
        <v>74</v>
      </c>
      <c r="F11" s="22">
        <f>29.29-7.38</f>
        <v>21.91</v>
      </c>
    </row>
    <row r="13" spans="1:10" x14ac:dyDescent="0.25">
      <c r="A13" s="20" t="s">
        <v>47</v>
      </c>
      <c r="B13" s="24"/>
      <c r="C13" s="18"/>
      <c r="D13" s="18"/>
      <c r="E13" s="25"/>
      <c r="F13" s="19"/>
    </row>
    <row r="14" spans="1:10" x14ac:dyDescent="0.25">
      <c r="A14" t="s">
        <v>29</v>
      </c>
      <c r="B14" s="24"/>
      <c r="C14" s="21">
        <f>1+1.3+5.8</f>
        <v>8.1</v>
      </c>
      <c r="D14" s="21">
        <v>2.4</v>
      </c>
      <c r="E14" s="25">
        <f>0.83*2.1*3</f>
        <v>5.2289999999999992</v>
      </c>
      <c r="F14" s="22">
        <f>C14*D14-E14</f>
        <v>14.210999999999999</v>
      </c>
    </row>
    <row r="15" spans="1:10" x14ac:dyDescent="0.25">
      <c r="A15" t="s">
        <v>60</v>
      </c>
      <c r="B15" s="24"/>
      <c r="C15" s="21"/>
      <c r="D15" s="21"/>
      <c r="E15" s="25"/>
      <c r="F15" s="27">
        <f>0.1+4.1+0.1+0.2+0.3+1+0.3+1.7+0.2+3.5+0.1</f>
        <v>11.6</v>
      </c>
    </row>
    <row r="16" spans="1:10" x14ac:dyDescent="0.25">
      <c r="A16" t="s">
        <v>74</v>
      </c>
      <c r="F16" s="22">
        <f>10.76</f>
        <v>10.76</v>
      </c>
    </row>
    <row r="17" spans="1:6" x14ac:dyDescent="0.25">
      <c r="B17" s="24"/>
      <c r="C17" s="21"/>
      <c r="D17" s="21"/>
      <c r="E17" s="25"/>
      <c r="F17" s="22"/>
    </row>
    <row r="18" spans="1:6" x14ac:dyDescent="0.25">
      <c r="A18" s="20" t="s">
        <v>27</v>
      </c>
      <c r="B18" s="24"/>
      <c r="C18" s="18"/>
      <c r="D18" s="18"/>
      <c r="E18" s="25"/>
      <c r="F18" s="19"/>
    </row>
    <row r="19" spans="1:6" x14ac:dyDescent="0.25">
      <c r="A19" t="s">
        <v>32</v>
      </c>
      <c r="B19" s="24"/>
      <c r="C19" s="21">
        <f>1.9</f>
        <v>1.9</v>
      </c>
      <c r="D19" s="21">
        <v>2.3199999999999998</v>
      </c>
      <c r="E19" s="25"/>
      <c r="F19" s="22">
        <f>C19*D19-E19</f>
        <v>4.4079999999999995</v>
      </c>
    </row>
    <row r="20" spans="1:6" x14ac:dyDescent="0.25">
      <c r="A20" t="s">
        <v>25</v>
      </c>
      <c r="B20" s="24"/>
      <c r="C20" s="21">
        <v>3.45</v>
      </c>
      <c r="D20" s="21">
        <f>1.9+0.07+0.07+0.63+0.66</f>
        <v>3.33</v>
      </c>
      <c r="E20" s="25">
        <f>2.12*2.37</f>
        <v>5.0244000000000009</v>
      </c>
      <c r="F20" s="22">
        <f>C20*D20-E20</f>
        <v>6.4640999999999993</v>
      </c>
    </row>
    <row r="21" spans="1:6" x14ac:dyDescent="0.25">
      <c r="A21" t="s">
        <v>56</v>
      </c>
      <c r="B21" s="24"/>
      <c r="C21" s="21"/>
      <c r="D21" s="21"/>
      <c r="E21" s="25"/>
      <c r="F21" s="27">
        <f>(1.2+0.1+0.3)</f>
        <v>1.6</v>
      </c>
    </row>
    <row r="22" spans="1:6" x14ac:dyDescent="0.25">
      <c r="A22" t="s">
        <v>54</v>
      </c>
      <c r="B22" s="24"/>
      <c r="C22" s="21"/>
      <c r="D22" s="21"/>
      <c r="E22" s="25"/>
      <c r="F22" s="27">
        <f>(1.2+2.12*2)</f>
        <v>5.44</v>
      </c>
    </row>
    <row r="23" spans="1:6" x14ac:dyDescent="0.25">
      <c r="A23" t="s">
        <v>60</v>
      </c>
      <c r="B23" s="24"/>
      <c r="C23" s="21"/>
      <c r="D23" s="21"/>
      <c r="E23" s="25"/>
      <c r="F23" s="27">
        <f>0.5+0.4+0.6+1.8+0.6+1.4+0.2+0.2+0.25+3.2+0.1</f>
        <v>9.25</v>
      </c>
    </row>
    <row r="24" spans="1:6" x14ac:dyDescent="0.25">
      <c r="A24" t="s">
        <v>74</v>
      </c>
      <c r="F24" s="22">
        <f>11.38</f>
        <v>11.38</v>
      </c>
    </row>
    <row r="26" spans="1:6" x14ac:dyDescent="0.25">
      <c r="A26" s="20" t="s">
        <v>48</v>
      </c>
      <c r="B26" s="24"/>
      <c r="C26" s="18"/>
      <c r="D26" s="18"/>
      <c r="E26" s="25"/>
      <c r="F26" s="19"/>
    </row>
    <row r="27" spans="1:6" x14ac:dyDescent="0.25">
      <c r="A27" t="s">
        <v>32</v>
      </c>
      <c r="B27" s="24"/>
      <c r="C27" s="21">
        <f>1.8</f>
        <v>1.8</v>
      </c>
      <c r="D27" s="21">
        <v>2.3199999999999998</v>
      </c>
      <c r="E27" s="25"/>
      <c r="F27" s="22">
        <f>C27*D27-E27</f>
        <v>4.1760000000000002</v>
      </c>
    </row>
    <row r="28" spans="1:6" x14ac:dyDescent="0.25">
      <c r="A28" t="s">
        <v>25</v>
      </c>
      <c r="B28" s="24"/>
      <c r="C28" s="21">
        <v>3.15</v>
      </c>
      <c r="D28" s="21">
        <f>1.9+0.07+0.07+0.49+0.49</f>
        <v>3.0200000000000005</v>
      </c>
      <c r="E28" s="25">
        <f>3.02*2.19</f>
        <v>6.6137999999999995</v>
      </c>
      <c r="F28" s="22">
        <f>C28*D28-E28</f>
        <v>2.8992000000000022</v>
      </c>
    </row>
    <row r="29" spans="1:6" x14ac:dyDescent="0.25">
      <c r="A29" t="s">
        <v>25</v>
      </c>
      <c r="B29" s="24"/>
      <c r="C29" s="21">
        <v>0.98</v>
      </c>
      <c r="D29" s="21">
        <f>0.81+0.9+0.07</f>
        <v>1.78</v>
      </c>
      <c r="E29" s="25"/>
      <c r="F29" s="22">
        <f>C29*D29-E29</f>
        <v>1.7444</v>
      </c>
    </row>
    <row r="30" spans="1:6" x14ac:dyDescent="0.25">
      <c r="A30" t="s">
        <v>56</v>
      </c>
      <c r="B30" s="24"/>
      <c r="C30" s="21"/>
      <c r="D30" s="21"/>
      <c r="E30" s="25"/>
      <c r="F30" s="27">
        <f>1.2+0.1+0.3</f>
        <v>1.6</v>
      </c>
    </row>
    <row r="31" spans="1:6" x14ac:dyDescent="0.25">
      <c r="A31" t="s">
        <v>54</v>
      </c>
      <c r="B31" s="24"/>
      <c r="C31" s="21"/>
      <c r="D31" s="21"/>
      <c r="E31" s="25"/>
      <c r="F31" s="27">
        <f>(1.2+2.12*2)</f>
        <v>5.44</v>
      </c>
    </row>
    <row r="32" spans="1:6" x14ac:dyDescent="0.25">
      <c r="A32" t="s">
        <v>60</v>
      </c>
      <c r="B32" s="24"/>
      <c r="C32" s="21"/>
      <c r="D32" s="21"/>
      <c r="E32" s="25"/>
      <c r="F32" s="27">
        <f>0.7+0.2+1.5+0.6+1.9+0.6+0.3+0.2+0.2+1+4.8+0.1</f>
        <v>12.1</v>
      </c>
    </row>
    <row r="33" spans="1:6" x14ac:dyDescent="0.25">
      <c r="A33" t="s">
        <v>74</v>
      </c>
      <c r="F33" s="22">
        <f>11.24</f>
        <v>11.24</v>
      </c>
    </row>
    <row r="35" spans="1:6" x14ac:dyDescent="0.25">
      <c r="A35" s="20" t="s">
        <v>49</v>
      </c>
      <c r="B35" s="24"/>
      <c r="C35" s="18"/>
      <c r="D35" s="18"/>
      <c r="E35" s="25"/>
      <c r="F35" s="19"/>
    </row>
    <row r="36" spans="1:6" x14ac:dyDescent="0.25">
      <c r="A36" t="s">
        <v>32</v>
      </c>
      <c r="B36" s="24"/>
      <c r="C36" s="21">
        <f>1.8</f>
        <v>1.8</v>
      </c>
      <c r="D36" s="21">
        <v>2.3199999999999998</v>
      </c>
      <c r="E36" s="25">
        <f>1.8*1.2</f>
        <v>2.16</v>
      </c>
      <c r="F36" s="22">
        <f>C36*D36-E36</f>
        <v>2.016</v>
      </c>
    </row>
    <row r="37" spans="1:6" x14ac:dyDescent="0.25">
      <c r="A37" t="s">
        <v>25</v>
      </c>
      <c r="B37" s="24"/>
      <c r="C37" s="21">
        <v>3.4</v>
      </c>
      <c r="D37" s="21">
        <v>3.25</v>
      </c>
      <c r="E37" s="25">
        <f>2.35*2.07</f>
        <v>4.8644999999999996</v>
      </c>
      <c r="F37" s="22">
        <f>C37*D37-E37</f>
        <v>6.1854999999999993</v>
      </c>
    </row>
    <row r="38" spans="1:6" x14ac:dyDescent="0.25">
      <c r="A38" t="s">
        <v>25</v>
      </c>
      <c r="B38" s="24"/>
      <c r="C38" s="21">
        <v>0.95</v>
      </c>
      <c r="D38" s="21">
        <f>1.54+0.9+0.07</f>
        <v>2.5099999999999998</v>
      </c>
      <c r="E38" s="25"/>
      <c r="F38" s="22">
        <f>C38*D38-E38</f>
        <v>2.3844999999999996</v>
      </c>
    </row>
    <row r="39" spans="1:6" x14ac:dyDescent="0.25">
      <c r="A39" t="s">
        <v>56</v>
      </c>
      <c r="B39" s="24"/>
      <c r="C39" s="21"/>
      <c r="D39" s="21"/>
      <c r="E39" s="25"/>
      <c r="F39" s="27">
        <f>1.2+0.1+0.3</f>
        <v>1.6</v>
      </c>
    </row>
    <row r="40" spans="1:6" x14ac:dyDescent="0.25">
      <c r="A40" t="s">
        <v>54</v>
      </c>
      <c r="F40" s="27">
        <f>1.2+2.12*2</f>
        <v>5.44</v>
      </c>
    </row>
    <row r="41" spans="1:6" x14ac:dyDescent="0.25">
      <c r="A41" t="s">
        <v>60</v>
      </c>
      <c r="B41" s="24"/>
      <c r="C41" s="21"/>
      <c r="D41" s="21"/>
      <c r="E41" s="25"/>
      <c r="F41" s="27">
        <f>5.1+0.2+0.2+0.2+1.4+0.6+2+0.6+1.8+0.7+1+0.9</f>
        <v>14.7</v>
      </c>
    </row>
    <row r="42" spans="1:6" x14ac:dyDescent="0.25">
      <c r="A42" t="s">
        <v>74</v>
      </c>
      <c r="F42" s="22">
        <f>14.12</f>
        <v>14.12</v>
      </c>
    </row>
    <row r="44" spans="1:6" x14ac:dyDescent="0.25">
      <c r="A44" s="20" t="s">
        <v>61</v>
      </c>
      <c r="B44" s="24"/>
      <c r="C44" s="18"/>
      <c r="D44" s="18"/>
      <c r="E44" s="25"/>
      <c r="F44" s="19"/>
    </row>
    <row r="45" spans="1:6" x14ac:dyDescent="0.25">
      <c r="A45" t="s">
        <v>60</v>
      </c>
      <c r="B45" s="24"/>
      <c r="C45" s="21"/>
      <c r="D45" s="21"/>
      <c r="E45" s="25"/>
      <c r="F45" s="27">
        <f>0.1+1.5+0.3+0.1+0.6+1.1+2.1+1.4</f>
        <v>7.2000000000000011</v>
      </c>
    </row>
    <row r="46" spans="1:6" x14ac:dyDescent="0.25">
      <c r="A46" t="s">
        <v>74</v>
      </c>
      <c r="F46" s="22">
        <f>4.83</f>
        <v>4.83</v>
      </c>
    </row>
    <row r="47" spans="1:6" ht="15.75" thickBot="1" x14ac:dyDescent="0.3"/>
    <row r="48" spans="1:6" ht="15.75" thickBot="1" x14ac:dyDescent="0.3">
      <c r="A48" s="41" t="s">
        <v>23</v>
      </c>
      <c r="B48" s="42"/>
    </row>
    <row r="49" spans="1:12" x14ac:dyDescent="0.25">
      <c r="A49" t="str" cm="1">
        <f t="array" ref="A49:B55">_xlfn.GROUPBY(A7:A46,F7:F46,_xleta.SUM,,0,,NOT(ISBLANK(F7:F46)))</f>
        <v>Boîte à rideau</v>
      </c>
      <c r="B49" s="48">
        <v>4.8000000000000007</v>
      </c>
    </row>
    <row r="50" spans="1:12" x14ac:dyDescent="0.25">
      <c r="A50" t="str">
        <v>Encadrement</v>
      </c>
      <c r="B50" s="28">
        <v>29.600000000000005</v>
      </c>
    </row>
    <row r="51" spans="1:12" ht="15.75" customHeight="1" x14ac:dyDescent="0.25">
      <c r="A51" t="str">
        <v>Lit</v>
      </c>
      <c r="B51" s="47">
        <v>10.6</v>
      </c>
      <c r="G51" s="4"/>
      <c r="H51" s="5"/>
      <c r="I51" s="4"/>
      <c r="J51" s="4"/>
      <c r="K51" s="5"/>
      <c r="L51" s="4"/>
    </row>
    <row r="52" spans="1:12" ht="15.75" customHeight="1" x14ac:dyDescent="0.25">
      <c r="A52" t="str">
        <v>Mur</v>
      </c>
      <c r="B52" s="47">
        <v>23.522999999999996</v>
      </c>
    </row>
    <row r="53" spans="1:12" x14ac:dyDescent="0.25">
      <c r="A53" t="str">
        <v>Parquet</v>
      </c>
      <c r="B53" s="47">
        <v>74.240000000000009</v>
      </c>
    </row>
    <row r="54" spans="1:12" x14ac:dyDescent="0.25">
      <c r="A54" t="str">
        <v>Plafond</v>
      </c>
      <c r="B54" s="43">
        <v>34.773699999999998</v>
      </c>
    </row>
    <row r="55" spans="1:12" x14ac:dyDescent="0.25">
      <c r="A55" t="str">
        <v>Plinthe</v>
      </c>
      <c r="B55" s="28">
        <v>67.55</v>
      </c>
    </row>
    <row r="58" spans="1:12" x14ac:dyDescent="0.25">
      <c r="A58" s="2" t="s">
        <v>1</v>
      </c>
      <c r="B58" s="3"/>
      <c r="C58" s="2" t="s">
        <v>2</v>
      </c>
      <c r="D58" s="2" t="s">
        <v>3</v>
      </c>
      <c r="E58" s="52" t="s">
        <v>7</v>
      </c>
      <c r="F58" s="52"/>
    </row>
    <row r="59" spans="1:12" x14ac:dyDescent="0.25">
      <c r="G59" s="1"/>
    </row>
    <row r="60" spans="1:12" x14ac:dyDescent="0.25">
      <c r="A60" s="9" t="s">
        <v>4</v>
      </c>
      <c r="B60" s="10"/>
      <c r="C60" s="30">
        <f>B52*2</f>
        <v>47.045999999999992</v>
      </c>
      <c r="D60" s="10" t="s">
        <v>8</v>
      </c>
      <c r="E60" s="34" t="s">
        <v>13</v>
      </c>
      <c r="F60" s="35"/>
      <c r="G60" s="1"/>
    </row>
    <row r="61" spans="1:12" x14ac:dyDescent="0.25">
      <c r="A61" s="14" t="s">
        <v>5</v>
      </c>
      <c r="B61" s="13"/>
      <c r="C61" s="31">
        <f>B51*2+B53*4+B49*4</f>
        <v>337.36</v>
      </c>
      <c r="D61" s="13" t="s">
        <v>8</v>
      </c>
      <c r="E61" s="37"/>
      <c r="F61" s="38"/>
    </row>
    <row r="63" spans="1:12" x14ac:dyDescent="0.25">
      <c r="A63" s="7" t="s">
        <v>6</v>
      </c>
      <c r="B63" s="8"/>
      <c r="C63" s="29">
        <f>(SUM(B51:B53)+B50*0.2+ROUNDUP(0.04*B49,1))*(1+E63)</f>
        <v>125.93130000000002</v>
      </c>
      <c r="D63" s="8" t="s">
        <v>9</v>
      </c>
      <c r="E63" s="33">
        <v>0.1</v>
      </c>
      <c r="F63" s="32" t="s">
        <v>45</v>
      </c>
    </row>
    <row r="65" spans="1:6" x14ac:dyDescent="0.25">
      <c r="A65" s="9" t="s">
        <v>10</v>
      </c>
      <c r="B65" s="10"/>
      <c r="C65" s="10"/>
      <c r="D65" s="10"/>
      <c r="E65" s="34"/>
      <c r="F65" s="35"/>
    </row>
    <row r="66" spans="1:6" x14ac:dyDescent="0.25">
      <c r="A66" s="11" t="s">
        <v>11</v>
      </c>
      <c r="C66">
        <f>B49*1</f>
        <v>4.8000000000000007</v>
      </c>
      <c r="D66" t="s">
        <v>8</v>
      </c>
      <c r="E66" s="15"/>
      <c r="F66" s="36"/>
    </row>
    <row r="67" spans="1:6" x14ac:dyDescent="0.25">
      <c r="A67" s="12" t="s">
        <v>12</v>
      </c>
      <c r="B67" s="13"/>
      <c r="C67" s="13">
        <f>B49*2</f>
        <v>9.6000000000000014</v>
      </c>
      <c r="D67" s="13" t="s">
        <v>8</v>
      </c>
      <c r="E67" s="37"/>
      <c r="F67" s="38"/>
    </row>
    <row r="68" spans="1:6" x14ac:dyDescent="0.25">
      <c r="B68" s="43"/>
      <c r="C68" s="21"/>
      <c r="D68" s="26"/>
      <c r="F68" s="22"/>
    </row>
    <row r="87" spans="1:6" x14ac:dyDescent="0.25">
      <c r="E87" s="53"/>
      <c r="F87" s="53"/>
    </row>
    <row r="88" spans="1:6" x14ac:dyDescent="0.25">
      <c r="E88" s="53"/>
      <c r="F88" s="53"/>
    </row>
    <row r="90" spans="1:6" x14ac:dyDescent="0.25">
      <c r="E90" s="15"/>
      <c r="F90" s="15"/>
    </row>
    <row r="92" spans="1:6" x14ac:dyDescent="0.25">
      <c r="E92" s="15"/>
      <c r="F92" s="15"/>
    </row>
    <row r="93" spans="1:6" x14ac:dyDescent="0.25">
      <c r="A93" s="1"/>
      <c r="E93" s="15"/>
      <c r="F93" s="15"/>
    </row>
    <row r="94" spans="1:6" x14ac:dyDescent="0.25">
      <c r="A94" s="1"/>
      <c r="E94" s="15"/>
      <c r="F94" s="15"/>
    </row>
    <row r="102" spans="1:1" x14ac:dyDescent="0.25">
      <c r="A102" s="1"/>
    </row>
    <row r="103" spans="1:1" x14ac:dyDescent="0.25">
      <c r="A103" s="1"/>
    </row>
  </sheetData>
  <mergeCells count="4">
    <mergeCell ref="A2:F2"/>
    <mergeCell ref="E58:F58"/>
    <mergeCell ref="E87:F87"/>
    <mergeCell ref="E88:F88"/>
  </mergeCells>
  <pageMargins left="0.7" right="0.7" top="0.75" bottom="0.75" header="0.3" footer="0.3"/>
  <pageSetup paperSize="9" orientation="portrait" horizontalDpi="0" verticalDpi="0" r:id="rId1"/>
  <headerFooter>
    <oddHeader>&amp;L
&amp;C&amp;"-,Gras"&amp;20METRE - LE KANGTO</oddHeader>
    <oddFooter>&amp;C&amp;P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B8F230-C9F8-4652-8AC6-FAE023D49456}">
  <dimension ref="A1:L98"/>
  <sheetViews>
    <sheetView view="pageLayout" topLeftCell="A26" zoomScaleNormal="100" workbookViewId="0">
      <selection activeCell="A37" sqref="A37:XFD37"/>
    </sheetView>
  </sheetViews>
  <sheetFormatPr baseColWidth="10" defaultRowHeight="15" x14ac:dyDescent="0.25"/>
  <cols>
    <col min="1" max="1" width="31.28515625" customWidth="1"/>
    <col min="3" max="3" width="8.85546875" bestFit="1" customWidth="1"/>
    <col min="4" max="4" width="8.85546875" customWidth="1"/>
    <col min="5" max="5" width="8.5703125" customWidth="1"/>
    <col min="6" max="6" width="13.5703125" customWidth="1"/>
  </cols>
  <sheetData>
    <row r="1" spans="1:10" ht="15.75" thickBot="1" x14ac:dyDescent="0.3"/>
    <row r="2" spans="1:10" ht="21.75" thickBot="1" x14ac:dyDescent="0.4">
      <c r="A2" s="49" t="s">
        <v>69</v>
      </c>
      <c r="B2" s="50"/>
      <c r="C2" s="50"/>
      <c r="D2" s="50"/>
      <c r="E2" s="50"/>
      <c r="F2" s="51"/>
      <c r="G2" s="6"/>
      <c r="H2" s="6"/>
      <c r="I2" s="6"/>
      <c r="J2" s="6"/>
    </row>
    <row r="3" spans="1:10" ht="15.75" customHeight="1" x14ac:dyDescent="0.25"/>
    <row r="4" spans="1:10" x14ac:dyDescent="0.25">
      <c r="A4" s="16" t="s">
        <v>18</v>
      </c>
      <c r="B4" s="17" t="s">
        <v>30</v>
      </c>
      <c r="C4" s="16" t="s">
        <v>19</v>
      </c>
      <c r="D4" s="16" t="s">
        <v>20</v>
      </c>
      <c r="E4" s="16" t="s">
        <v>22</v>
      </c>
      <c r="F4" s="16" t="s">
        <v>23</v>
      </c>
    </row>
    <row r="5" spans="1:10" x14ac:dyDescent="0.25">
      <c r="D5" s="15"/>
      <c r="E5" s="23"/>
    </row>
    <row r="6" spans="1:10" x14ac:dyDescent="0.25">
      <c r="A6" s="20" t="s">
        <v>62</v>
      </c>
      <c r="C6" s="18"/>
      <c r="D6" s="18"/>
      <c r="E6" s="22"/>
    </row>
    <row r="7" spans="1:10" x14ac:dyDescent="0.25">
      <c r="A7" t="s">
        <v>29</v>
      </c>
      <c r="B7" s="24"/>
      <c r="C7" s="21">
        <f>4.9+2.2+0.8+2.4+0.3</f>
        <v>10.600000000000001</v>
      </c>
      <c r="D7" s="21">
        <v>2.4</v>
      </c>
      <c r="E7" s="25">
        <f>0.83*2.1*2+1.6*2.12</f>
        <v>6.8780000000000001</v>
      </c>
      <c r="F7" s="22">
        <f>C7*D7-E7</f>
        <v>18.562000000000001</v>
      </c>
    </row>
    <row r="8" spans="1:10" x14ac:dyDescent="0.25">
      <c r="A8" t="s">
        <v>25</v>
      </c>
      <c r="B8" s="24"/>
      <c r="C8" s="21">
        <v>2.0499999999999998</v>
      </c>
      <c r="D8" s="21">
        <v>2.75</v>
      </c>
      <c r="E8" s="25"/>
      <c r="F8" s="22">
        <f>C8*D8-E8</f>
        <v>5.6374999999999993</v>
      </c>
    </row>
    <row r="9" spans="1:10" x14ac:dyDescent="0.25">
      <c r="A9" t="s">
        <v>54</v>
      </c>
      <c r="B9" s="24"/>
      <c r="C9" s="21"/>
      <c r="E9" s="25"/>
      <c r="F9" s="27">
        <f>(2+2.12*2)+(1.6+2.12*2)</f>
        <v>12.08</v>
      </c>
    </row>
    <row r="10" spans="1:10" x14ac:dyDescent="0.25">
      <c r="A10" t="s">
        <v>60</v>
      </c>
      <c r="B10" s="24"/>
      <c r="C10" s="21"/>
      <c r="D10" s="21"/>
      <c r="E10" s="25"/>
      <c r="F10" s="27">
        <f>0.1+1.2+0.1+0.3+0.5+0.1+0.8+2.3+0.4+0.6+0.2+0.2+0.9+1+0.2+0.2+2.4+3+0.5+1.7+1.4+0.3+1</f>
        <v>19.399999999999999</v>
      </c>
    </row>
    <row r="11" spans="1:10" x14ac:dyDescent="0.25">
      <c r="A11" t="s">
        <v>74</v>
      </c>
      <c r="F11" s="22">
        <f>24.13-5.5</f>
        <v>18.63</v>
      </c>
    </row>
    <row r="13" spans="1:10" x14ac:dyDescent="0.25">
      <c r="A13" s="20" t="s">
        <v>27</v>
      </c>
      <c r="B13" s="24"/>
      <c r="C13" s="18"/>
      <c r="D13" s="18"/>
      <c r="E13" s="25"/>
      <c r="F13" s="19"/>
    </row>
    <row r="14" spans="1:10" x14ac:dyDescent="0.25">
      <c r="A14" t="s">
        <v>32</v>
      </c>
      <c r="B14" s="24"/>
      <c r="C14" s="21">
        <f>2</f>
        <v>2</v>
      </c>
      <c r="D14" s="21">
        <v>2.3199999999999998</v>
      </c>
      <c r="E14" s="25"/>
      <c r="F14" s="22">
        <f>C14*D14-E14</f>
        <v>4.6399999999999997</v>
      </c>
    </row>
    <row r="15" spans="1:10" x14ac:dyDescent="0.25">
      <c r="A15" t="s">
        <v>25</v>
      </c>
      <c r="B15" s="24"/>
      <c r="C15" s="21">
        <v>2.98</v>
      </c>
      <c r="D15" s="21">
        <v>3.15</v>
      </c>
      <c r="E15" s="25">
        <f>2.02*1.82</f>
        <v>3.6764000000000001</v>
      </c>
      <c r="F15" s="22">
        <f>C15*D15-E15</f>
        <v>5.7106000000000003</v>
      </c>
    </row>
    <row r="16" spans="1:10" x14ac:dyDescent="0.25">
      <c r="A16" t="s">
        <v>56</v>
      </c>
      <c r="B16" s="24"/>
      <c r="C16" s="21"/>
      <c r="D16" s="21"/>
      <c r="E16" s="25"/>
      <c r="F16" s="27">
        <f>(1.6+0.1+0.3)</f>
        <v>2</v>
      </c>
    </row>
    <row r="17" spans="1:6" x14ac:dyDescent="0.25">
      <c r="A17" t="s">
        <v>54</v>
      </c>
      <c r="B17" s="24"/>
      <c r="C17" s="21"/>
      <c r="D17" s="21"/>
      <c r="E17" s="25"/>
      <c r="F17" s="27">
        <f>(1.6+2.12*2)</f>
        <v>5.84</v>
      </c>
    </row>
    <row r="18" spans="1:6" x14ac:dyDescent="0.25">
      <c r="A18" t="s">
        <v>60</v>
      </c>
      <c r="B18" s="24"/>
      <c r="C18" s="21"/>
      <c r="D18" s="21"/>
      <c r="E18" s="25"/>
      <c r="F18" s="27">
        <f>0.4+2.9+0.4+0.2+0.2+0.5+0.6+2+0.6+0.3+0.2</f>
        <v>8.2999999999999989</v>
      </c>
    </row>
    <row r="19" spans="1:6" x14ac:dyDescent="0.25">
      <c r="A19" t="s">
        <v>74</v>
      </c>
      <c r="F19" s="22">
        <f>9.25</f>
        <v>9.25</v>
      </c>
    </row>
    <row r="21" spans="1:6" x14ac:dyDescent="0.25">
      <c r="A21" s="20" t="s">
        <v>48</v>
      </c>
      <c r="B21" s="24"/>
      <c r="C21" s="18"/>
      <c r="D21" s="18"/>
      <c r="E21" s="25"/>
      <c r="F21" s="19"/>
    </row>
    <row r="22" spans="1:6" x14ac:dyDescent="0.25">
      <c r="A22" t="s">
        <v>32</v>
      </c>
      <c r="B22" s="24"/>
      <c r="C22" s="21">
        <f>1.8</f>
        <v>1.8</v>
      </c>
      <c r="D22" s="21">
        <v>2.3199999999999998</v>
      </c>
      <c r="E22" s="25"/>
      <c r="F22" s="22">
        <f>C22*D22-E22</f>
        <v>4.1760000000000002</v>
      </c>
    </row>
    <row r="23" spans="1:6" x14ac:dyDescent="0.25">
      <c r="A23" t="s">
        <v>25</v>
      </c>
      <c r="B23" s="24"/>
      <c r="C23" s="21">
        <v>2.93</v>
      </c>
      <c r="D23" s="21">
        <v>2.9</v>
      </c>
      <c r="E23" s="25">
        <f>1.6*1.97</f>
        <v>3.1520000000000001</v>
      </c>
      <c r="F23" s="22">
        <f>C23*D23-E23</f>
        <v>5.3449999999999998</v>
      </c>
    </row>
    <row r="24" spans="1:6" x14ac:dyDescent="0.25">
      <c r="A24" t="s">
        <v>25</v>
      </c>
      <c r="B24" s="24"/>
      <c r="C24" s="21">
        <v>1.45</v>
      </c>
      <c r="D24" s="21">
        <v>0.93</v>
      </c>
      <c r="E24" s="25"/>
      <c r="F24" s="22">
        <f>C24*D24-E24</f>
        <v>1.3485</v>
      </c>
    </row>
    <row r="25" spans="1:6" x14ac:dyDescent="0.25">
      <c r="A25" t="s">
        <v>56</v>
      </c>
      <c r="B25" s="24"/>
      <c r="C25" s="21"/>
      <c r="D25" s="21"/>
      <c r="E25" s="25"/>
      <c r="F25" s="27">
        <f>1.2+0.1+0.3</f>
        <v>1.6</v>
      </c>
    </row>
    <row r="26" spans="1:6" x14ac:dyDescent="0.25">
      <c r="A26" t="s">
        <v>54</v>
      </c>
      <c r="B26" s="24"/>
      <c r="C26" s="21"/>
      <c r="D26" s="21"/>
      <c r="E26" s="25"/>
      <c r="F26" s="27">
        <f>(1.2+2.12*2)</f>
        <v>5.44</v>
      </c>
    </row>
    <row r="27" spans="1:6" x14ac:dyDescent="0.25">
      <c r="A27" t="s">
        <v>60</v>
      </c>
      <c r="B27" s="24"/>
      <c r="C27" s="21"/>
      <c r="D27" s="21"/>
      <c r="E27" s="25"/>
      <c r="F27" s="27">
        <f>4.4+0.1+0.2+0.2+1.1+0.6+1.8+0.6+1.4+0.4+0.2</f>
        <v>11</v>
      </c>
    </row>
    <row r="28" spans="1:6" x14ac:dyDescent="0.25">
      <c r="A28" t="s">
        <v>74</v>
      </c>
      <c r="F28" s="22">
        <f>10.06</f>
        <v>10.06</v>
      </c>
    </row>
    <row r="30" spans="1:6" x14ac:dyDescent="0.25">
      <c r="A30" s="20" t="s">
        <v>49</v>
      </c>
      <c r="B30" s="24"/>
      <c r="C30" s="18"/>
      <c r="D30" s="18"/>
      <c r="E30" s="25"/>
      <c r="F30" s="19"/>
    </row>
    <row r="31" spans="1:6" x14ac:dyDescent="0.25">
      <c r="A31" t="s">
        <v>32</v>
      </c>
      <c r="B31" s="24"/>
      <c r="C31" s="21">
        <v>2.8</v>
      </c>
      <c r="D31" s="21">
        <v>2.3199999999999998</v>
      </c>
      <c r="E31" s="25">
        <f>1.8*1.2</f>
        <v>2.16</v>
      </c>
      <c r="F31" s="22">
        <f>C31*D31-E31</f>
        <v>4.3359999999999994</v>
      </c>
    </row>
    <row r="32" spans="1:6" x14ac:dyDescent="0.25">
      <c r="A32" t="s">
        <v>25</v>
      </c>
      <c r="B32" s="24"/>
      <c r="C32" s="21">
        <v>3.87</v>
      </c>
      <c r="D32" s="21">
        <v>2.65</v>
      </c>
      <c r="E32" s="25">
        <f>2.26*1.7</f>
        <v>3.8419999999999996</v>
      </c>
      <c r="F32" s="22">
        <f>C32*D32-E32</f>
        <v>6.4135</v>
      </c>
    </row>
    <row r="33" spans="1:12" x14ac:dyDescent="0.25">
      <c r="A33" t="s">
        <v>25</v>
      </c>
      <c r="B33" s="24"/>
      <c r="C33" s="21">
        <v>0.95</v>
      </c>
      <c r="D33" s="21">
        <v>1.65</v>
      </c>
      <c r="E33" s="25"/>
      <c r="F33" s="22">
        <f>C33*D33-E33</f>
        <v>1.5674999999999999</v>
      </c>
    </row>
    <row r="34" spans="1:12" x14ac:dyDescent="0.25">
      <c r="A34" t="s">
        <v>56</v>
      </c>
      <c r="B34" s="24"/>
      <c r="C34" s="21"/>
      <c r="D34" s="21"/>
      <c r="E34" s="25"/>
      <c r="F34" s="27">
        <f>1.2+0.1+0.3</f>
        <v>1.6</v>
      </c>
    </row>
    <row r="35" spans="1:12" x14ac:dyDescent="0.25">
      <c r="A35" t="s">
        <v>54</v>
      </c>
      <c r="F35" s="27">
        <f>1.2+2.12*2</f>
        <v>5.44</v>
      </c>
    </row>
    <row r="36" spans="1:12" x14ac:dyDescent="0.25">
      <c r="A36" t="s">
        <v>60</v>
      </c>
      <c r="B36" s="24"/>
      <c r="C36" s="21"/>
      <c r="D36" s="21"/>
      <c r="E36" s="25"/>
      <c r="F36" s="27">
        <f>0.1+0.6+0.2+2.8+2.7+1.7+0.2+0.2+0.5+0.6+1+0.2+0.2+0.2+1.4</f>
        <v>12.599999999999996</v>
      </c>
    </row>
    <row r="37" spans="1:12" x14ac:dyDescent="0.25">
      <c r="A37" t="s">
        <v>74</v>
      </c>
      <c r="F37" s="22">
        <v>12.1</v>
      </c>
    </row>
    <row r="39" spans="1:12" x14ac:dyDescent="0.25">
      <c r="A39" s="20" t="s">
        <v>61</v>
      </c>
      <c r="B39" s="24"/>
      <c r="C39" s="18"/>
      <c r="D39" s="18"/>
      <c r="E39" s="25"/>
      <c r="F39" s="19"/>
    </row>
    <row r="40" spans="1:12" x14ac:dyDescent="0.25">
      <c r="A40" t="s">
        <v>60</v>
      </c>
      <c r="B40" s="24"/>
      <c r="C40" s="21"/>
      <c r="D40" s="21"/>
      <c r="E40" s="25"/>
      <c r="F40" s="27">
        <f>0.7+0.6+1+2.2+1.7</f>
        <v>6.2</v>
      </c>
    </row>
    <row r="41" spans="1:12" x14ac:dyDescent="0.25">
      <c r="A41" t="s">
        <v>74</v>
      </c>
      <c r="F41" s="22">
        <v>3.94</v>
      </c>
    </row>
    <row r="42" spans="1:12" ht="15.75" thickBot="1" x14ac:dyDescent="0.3"/>
    <row r="43" spans="1:12" ht="15.75" thickBot="1" x14ac:dyDescent="0.3">
      <c r="A43" s="41" t="s">
        <v>23</v>
      </c>
      <c r="B43" s="42"/>
    </row>
    <row r="44" spans="1:12" x14ac:dyDescent="0.25">
      <c r="A44" t="str" cm="1">
        <f t="array" ref="A44:B50">_xlfn.GROUPBY(A7:A41,F7:F41,_xleta.SUM,,0,,NOT(ISBLANK(F7:F41)))</f>
        <v>Boîte à rideau</v>
      </c>
      <c r="B44" s="48">
        <v>5.2</v>
      </c>
    </row>
    <row r="45" spans="1:12" x14ac:dyDescent="0.25">
      <c r="A45" t="str">
        <v>Encadrement</v>
      </c>
      <c r="B45" s="28">
        <v>28.800000000000004</v>
      </c>
    </row>
    <row r="46" spans="1:12" ht="15.75" customHeight="1" x14ac:dyDescent="0.25">
      <c r="A46" t="str">
        <v>Lit</v>
      </c>
      <c r="B46" s="47">
        <v>13.151999999999997</v>
      </c>
      <c r="G46" s="4"/>
      <c r="H46" s="5"/>
      <c r="I46" s="4"/>
      <c r="J46" s="4"/>
      <c r="K46" s="5"/>
      <c r="L46" s="4"/>
    </row>
    <row r="47" spans="1:12" ht="15.75" customHeight="1" x14ac:dyDescent="0.25">
      <c r="A47" t="str">
        <v>Mur</v>
      </c>
      <c r="B47" s="47">
        <v>18.562000000000001</v>
      </c>
    </row>
    <row r="48" spans="1:12" x14ac:dyDescent="0.25">
      <c r="A48" t="str">
        <v>Parquet</v>
      </c>
      <c r="B48" s="47">
        <v>53.98</v>
      </c>
    </row>
    <row r="49" spans="1:7" x14ac:dyDescent="0.25">
      <c r="A49" t="str">
        <v>Plafond</v>
      </c>
      <c r="B49" s="43">
        <v>26.022599999999997</v>
      </c>
    </row>
    <row r="50" spans="1:7" x14ac:dyDescent="0.25">
      <c r="A50" t="str">
        <v>Plinthe</v>
      </c>
      <c r="B50" s="28">
        <v>57.499999999999993</v>
      </c>
    </row>
    <row r="53" spans="1:7" x14ac:dyDescent="0.25">
      <c r="A53" s="2" t="s">
        <v>1</v>
      </c>
      <c r="B53" s="3"/>
      <c r="C53" s="2" t="s">
        <v>2</v>
      </c>
      <c r="D53" s="2" t="s">
        <v>3</v>
      </c>
      <c r="E53" s="52" t="s">
        <v>7</v>
      </c>
      <c r="F53" s="52"/>
    </row>
    <row r="54" spans="1:7" x14ac:dyDescent="0.25">
      <c r="G54" s="1"/>
    </row>
    <row r="55" spans="1:7" x14ac:dyDescent="0.25">
      <c r="A55" s="9" t="s">
        <v>4</v>
      </c>
      <c r="B55" s="10"/>
      <c r="C55" s="30">
        <f>B47*2</f>
        <v>37.124000000000002</v>
      </c>
      <c r="D55" s="10" t="s">
        <v>8</v>
      </c>
      <c r="E55" s="34" t="s">
        <v>13</v>
      </c>
      <c r="F55" s="35"/>
      <c r="G55" s="1"/>
    </row>
    <row r="56" spans="1:7" x14ac:dyDescent="0.25">
      <c r="A56" s="14" t="s">
        <v>5</v>
      </c>
      <c r="B56" s="13"/>
      <c r="C56" s="31">
        <f>B46*2+B48*4+B44*4</f>
        <v>263.024</v>
      </c>
      <c r="D56" s="13" t="s">
        <v>8</v>
      </c>
      <c r="E56" s="37"/>
      <c r="F56" s="38"/>
    </row>
    <row r="58" spans="1:7" x14ac:dyDescent="0.25">
      <c r="A58" s="7" t="s">
        <v>6</v>
      </c>
      <c r="B58" s="8"/>
      <c r="C58" s="29">
        <f>(SUM(B46:B48)+B45*0.2+ROUNDUP(0.04*B44,1))*(1+E58)</f>
        <v>100.9294</v>
      </c>
      <c r="D58" s="8" t="s">
        <v>9</v>
      </c>
      <c r="E58" s="33">
        <v>0.1</v>
      </c>
      <c r="F58" s="32" t="s">
        <v>45</v>
      </c>
    </row>
    <row r="60" spans="1:7" x14ac:dyDescent="0.25">
      <c r="A60" s="9" t="s">
        <v>10</v>
      </c>
      <c r="B60" s="10"/>
      <c r="C60" s="10"/>
      <c r="D60" s="10"/>
      <c r="E60" s="34"/>
      <c r="F60" s="35"/>
    </row>
    <row r="61" spans="1:7" x14ac:dyDescent="0.25">
      <c r="A61" s="11" t="s">
        <v>11</v>
      </c>
      <c r="C61">
        <f>B44*1</f>
        <v>5.2</v>
      </c>
      <c r="D61" t="s">
        <v>8</v>
      </c>
      <c r="E61" s="15"/>
      <c r="F61" s="36"/>
    </row>
    <row r="62" spans="1:7" x14ac:dyDescent="0.25">
      <c r="A62" s="12" t="s">
        <v>12</v>
      </c>
      <c r="B62" s="13"/>
      <c r="C62" s="13">
        <f>B44*2</f>
        <v>10.4</v>
      </c>
      <c r="D62" s="13" t="s">
        <v>8</v>
      </c>
      <c r="E62" s="37"/>
      <c r="F62" s="38"/>
    </row>
    <row r="63" spans="1:7" x14ac:dyDescent="0.25">
      <c r="B63" s="43"/>
      <c r="C63" s="21"/>
      <c r="D63" s="26"/>
      <c r="F63" s="22"/>
    </row>
    <row r="82" spans="1:6" x14ac:dyDescent="0.25">
      <c r="E82" s="53"/>
      <c r="F82" s="53"/>
    </row>
    <row r="83" spans="1:6" x14ac:dyDescent="0.25">
      <c r="E83" s="53"/>
      <c r="F83" s="53"/>
    </row>
    <row r="85" spans="1:6" x14ac:dyDescent="0.25">
      <c r="E85" s="15"/>
      <c r="F85" s="15"/>
    </row>
    <row r="87" spans="1:6" x14ac:dyDescent="0.25">
      <c r="E87" s="15"/>
      <c r="F87" s="15"/>
    </row>
    <row r="88" spans="1:6" x14ac:dyDescent="0.25">
      <c r="A88" s="1"/>
      <c r="E88" s="15"/>
      <c r="F88" s="15"/>
    </row>
    <row r="89" spans="1:6" x14ac:dyDescent="0.25">
      <c r="A89" s="1"/>
      <c r="E89" s="15"/>
      <c r="F89" s="15"/>
    </row>
    <row r="97" spans="1:1" x14ac:dyDescent="0.25">
      <c r="A97" s="1"/>
    </row>
    <row r="98" spans="1:1" x14ac:dyDescent="0.25">
      <c r="A98" s="1"/>
    </row>
  </sheetData>
  <mergeCells count="4">
    <mergeCell ref="A2:F2"/>
    <mergeCell ref="E53:F53"/>
    <mergeCell ref="E82:F82"/>
    <mergeCell ref="E83:F83"/>
  </mergeCells>
  <pageMargins left="0.7" right="0.7" top="0.75" bottom="0.75" header="0.3" footer="0.3"/>
  <pageSetup paperSize="9" orientation="portrait" horizontalDpi="0" verticalDpi="0" r:id="rId1"/>
  <headerFooter>
    <oddHeader>&amp;L
&amp;C&amp;"-,Gras"&amp;20METRE - LE KANGTO</oddHeader>
    <oddFooter>&amp;C&amp;P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1C9ED0-7CD4-4C10-B620-947A0FE24D83}">
  <dimension ref="A1:L103"/>
  <sheetViews>
    <sheetView view="pageLayout" topLeftCell="A38" zoomScaleNormal="100" workbookViewId="0">
      <selection activeCell="A49" sqref="A49"/>
    </sheetView>
  </sheetViews>
  <sheetFormatPr baseColWidth="10" defaultRowHeight="15" x14ac:dyDescent="0.25"/>
  <cols>
    <col min="1" max="1" width="31.28515625" customWidth="1"/>
    <col min="3" max="3" width="8.85546875" bestFit="1" customWidth="1"/>
    <col min="4" max="4" width="8.85546875" customWidth="1"/>
    <col min="5" max="5" width="8.5703125" customWidth="1"/>
    <col min="6" max="6" width="13.5703125" customWidth="1"/>
  </cols>
  <sheetData>
    <row r="1" spans="1:10" ht="15.75" thickBot="1" x14ac:dyDescent="0.3"/>
    <row r="2" spans="1:10" ht="21.75" thickBot="1" x14ac:dyDescent="0.4">
      <c r="A2" s="49" t="s">
        <v>68</v>
      </c>
      <c r="B2" s="50"/>
      <c r="C2" s="50"/>
      <c r="D2" s="50"/>
      <c r="E2" s="50"/>
      <c r="F2" s="51"/>
      <c r="G2" s="6"/>
      <c r="H2" s="6"/>
      <c r="I2" s="6"/>
      <c r="J2" s="6"/>
    </row>
    <row r="3" spans="1:10" ht="15.75" customHeight="1" x14ac:dyDescent="0.25"/>
    <row r="4" spans="1:10" x14ac:dyDescent="0.25">
      <c r="A4" s="16" t="s">
        <v>18</v>
      </c>
      <c r="B4" s="17" t="s">
        <v>30</v>
      </c>
      <c r="C4" s="16" t="s">
        <v>19</v>
      </c>
      <c r="D4" s="16" t="s">
        <v>20</v>
      </c>
      <c r="E4" s="16" t="s">
        <v>22</v>
      </c>
      <c r="F4" s="16" t="s">
        <v>23</v>
      </c>
    </row>
    <row r="5" spans="1:10" x14ac:dyDescent="0.25">
      <c r="D5" s="15"/>
      <c r="E5" s="23"/>
    </row>
    <row r="6" spans="1:10" x14ac:dyDescent="0.25">
      <c r="A6" s="20" t="s">
        <v>46</v>
      </c>
      <c r="C6" s="18"/>
      <c r="D6" s="18"/>
      <c r="E6" s="22"/>
    </row>
    <row r="7" spans="1:10" x14ac:dyDescent="0.25">
      <c r="A7" t="s">
        <v>29</v>
      </c>
      <c r="B7" s="24"/>
      <c r="C7" s="21">
        <f>0.5+1.2+0.7+3.9</f>
        <v>6.3</v>
      </c>
      <c r="D7" s="21">
        <v>2.4</v>
      </c>
      <c r="E7" s="25">
        <f>0.83*2.1*2</f>
        <v>3.4859999999999998</v>
      </c>
      <c r="F7" s="22">
        <f>C7*D7-E7</f>
        <v>11.634</v>
      </c>
    </row>
    <row r="8" spans="1:10" x14ac:dyDescent="0.25">
      <c r="A8" t="s">
        <v>25</v>
      </c>
      <c r="B8" s="24"/>
      <c r="C8" s="21">
        <v>2.0499999999999998</v>
      </c>
      <c r="D8" s="21">
        <v>3.95</v>
      </c>
      <c r="E8" s="25"/>
      <c r="F8" s="22">
        <f>C8*D8-E8</f>
        <v>8.0975000000000001</v>
      </c>
    </row>
    <row r="9" spans="1:10" x14ac:dyDescent="0.25">
      <c r="A9" t="s">
        <v>25</v>
      </c>
      <c r="B9" s="24"/>
      <c r="C9" s="21">
        <v>5.22</v>
      </c>
      <c r="D9" s="21">
        <v>2.25</v>
      </c>
      <c r="E9" s="25"/>
      <c r="F9" s="22">
        <f>C9*D9-E9</f>
        <v>11.744999999999999</v>
      </c>
    </row>
    <row r="10" spans="1:10" x14ac:dyDescent="0.25">
      <c r="A10" t="s">
        <v>54</v>
      </c>
      <c r="B10" s="24"/>
      <c r="C10" s="21"/>
      <c r="E10" s="25"/>
      <c r="F10" s="27">
        <f>(2.4+2.12*2)*2+(1.2+1.62*2)+(1.6+2.12*2)</f>
        <v>23.560000000000002</v>
      </c>
    </row>
    <row r="11" spans="1:10" x14ac:dyDescent="0.25">
      <c r="A11" t="s">
        <v>60</v>
      </c>
      <c r="B11" s="24"/>
      <c r="C11" s="21"/>
      <c r="D11" s="21"/>
      <c r="E11" s="25"/>
      <c r="F11" s="27">
        <f>0.1+0.5+2.4+0.4+3.3+1.2+0.2+0.2+2.6+1+0.2+0.2+1.2+1.6+0.9+0.4+1+0.2+0.2+2.2+0.2+0.2+0.1+3+0.1+0.7+0.2+0.5+0.2</f>
        <v>25.199999999999992</v>
      </c>
    </row>
    <row r="12" spans="1:10" x14ac:dyDescent="0.25">
      <c r="A12" t="s">
        <v>74</v>
      </c>
      <c r="F12" s="22">
        <f>58.75-7.1</f>
        <v>51.65</v>
      </c>
    </row>
    <row r="13" spans="1:10" ht="15.75" customHeight="1" x14ac:dyDescent="0.25"/>
    <row r="14" spans="1:10" x14ac:dyDescent="0.25">
      <c r="A14" s="20" t="s">
        <v>27</v>
      </c>
      <c r="B14" s="24"/>
      <c r="C14" s="18"/>
      <c r="D14" s="18"/>
      <c r="E14" s="25"/>
      <c r="F14" s="19"/>
    </row>
    <row r="15" spans="1:10" x14ac:dyDescent="0.25">
      <c r="A15" t="s">
        <v>32</v>
      </c>
      <c r="B15" s="24"/>
      <c r="C15" s="21">
        <v>2.9</v>
      </c>
      <c r="D15" s="21">
        <v>2.3199999999999998</v>
      </c>
      <c r="E15" s="25"/>
      <c r="F15" s="22">
        <f>C15*D15-E15</f>
        <v>6.7279999999999998</v>
      </c>
    </row>
    <row r="16" spans="1:10" x14ac:dyDescent="0.25">
      <c r="A16" t="s">
        <v>25</v>
      </c>
      <c r="B16" s="24"/>
      <c r="C16" s="21">
        <v>1.06</v>
      </c>
      <c r="D16" s="21">
        <f>1.86+0.07</f>
        <v>1.9300000000000002</v>
      </c>
      <c r="E16" s="25"/>
      <c r="F16" s="22">
        <f>C16*D16-E16</f>
        <v>2.0458000000000003</v>
      </c>
    </row>
    <row r="17" spans="1:6" x14ac:dyDescent="0.25">
      <c r="A17" t="s">
        <v>25</v>
      </c>
      <c r="B17" s="24"/>
      <c r="C17" s="21">
        <v>3.98</v>
      </c>
      <c r="D17" s="21">
        <v>3.6</v>
      </c>
      <c r="E17" s="25">
        <f>2.64*2.42</f>
        <v>6.3887999999999998</v>
      </c>
      <c r="F17" s="22">
        <f>C17*D17-E17</f>
        <v>7.9391999999999996</v>
      </c>
    </row>
    <row r="18" spans="1:6" x14ac:dyDescent="0.25">
      <c r="A18" t="s">
        <v>56</v>
      </c>
      <c r="B18" s="24"/>
      <c r="C18" s="21"/>
      <c r="D18" s="21"/>
      <c r="E18" s="25"/>
      <c r="F18" s="27">
        <f>(1.2+0.1+0.3)+(2.4+0.3+0.3)</f>
        <v>4.5999999999999996</v>
      </c>
    </row>
    <row r="19" spans="1:6" x14ac:dyDescent="0.25">
      <c r="A19" t="s">
        <v>54</v>
      </c>
      <c r="B19" s="24"/>
      <c r="C19" s="21"/>
      <c r="D19" s="21"/>
      <c r="E19" s="25"/>
      <c r="F19" s="27">
        <f>(1.2+2.12*2)+(2.4+2.12*2)</f>
        <v>12.080000000000002</v>
      </c>
    </row>
    <row r="20" spans="1:6" x14ac:dyDescent="0.25">
      <c r="A20" t="s">
        <v>60</v>
      </c>
      <c r="B20" s="24"/>
      <c r="C20" s="21"/>
      <c r="D20" s="21"/>
      <c r="E20" s="25"/>
      <c r="F20" s="27">
        <f>0.1+0.9+0.1+2.9+0.1+0.2+0.2+1.2+1.7+0.2+0.2+0.5+0.6+3.2+0.1</f>
        <v>12.200000000000001</v>
      </c>
    </row>
    <row r="21" spans="1:6" x14ac:dyDescent="0.25">
      <c r="A21" t="s">
        <v>74</v>
      </c>
      <c r="F21" s="22">
        <f>16.3</f>
        <v>16.3</v>
      </c>
    </row>
    <row r="23" spans="1:6" x14ac:dyDescent="0.25">
      <c r="A23" s="20" t="s">
        <v>48</v>
      </c>
      <c r="B23" s="24"/>
      <c r="C23" s="18"/>
      <c r="D23" s="18"/>
      <c r="E23" s="25"/>
      <c r="F23" s="19"/>
    </row>
    <row r="24" spans="1:6" x14ac:dyDescent="0.25">
      <c r="A24" t="s">
        <v>32</v>
      </c>
      <c r="B24" s="24"/>
      <c r="C24" s="21">
        <f>1.8</f>
        <v>1.8</v>
      </c>
      <c r="D24" s="21">
        <v>2.3199999999999998</v>
      </c>
      <c r="E24" s="25"/>
      <c r="F24" s="22">
        <f>C24*D24-E24</f>
        <v>4.1760000000000002</v>
      </c>
    </row>
    <row r="25" spans="1:6" x14ac:dyDescent="0.25">
      <c r="A25" t="s">
        <v>25</v>
      </c>
      <c r="B25" s="24"/>
      <c r="C25" s="21">
        <v>3.36</v>
      </c>
      <c r="D25" s="21">
        <v>3.57</v>
      </c>
      <c r="E25" s="25">
        <f>2.61*2.43</f>
        <v>6.3422999999999998</v>
      </c>
      <c r="F25" s="22">
        <f>C25*D25-E25</f>
        <v>5.6528999999999989</v>
      </c>
    </row>
    <row r="26" spans="1:6" x14ac:dyDescent="0.25">
      <c r="A26" t="s">
        <v>25</v>
      </c>
      <c r="B26" s="24"/>
      <c r="C26" s="21">
        <v>0.97</v>
      </c>
      <c r="D26" s="21">
        <f>1.51+0.07</f>
        <v>1.58</v>
      </c>
      <c r="E26" s="25"/>
      <c r="F26" s="22">
        <f>C26*D26-E26</f>
        <v>1.5326</v>
      </c>
    </row>
    <row r="27" spans="1:6" x14ac:dyDescent="0.25">
      <c r="A27" t="s">
        <v>56</v>
      </c>
      <c r="B27" s="24"/>
      <c r="C27" s="21"/>
      <c r="D27" s="21"/>
      <c r="E27" s="25"/>
      <c r="F27" s="27">
        <f>1.2+0.1+0.3</f>
        <v>1.6</v>
      </c>
    </row>
    <row r="28" spans="1:6" x14ac:dyDescent="0.25">
      <c r="A28" t="s">
        <v>54</v>
      </c>
      <c r="B28" s="24"/>
      <c r="C28" s="21"/>
      <c r="D28" s="21"/>
      <c r="E28" s="25"/>
      <c r="F28" s="27">
        <f>1.2+2.12*2</f>
        <v>5.44</v>
      </c>
    </row>
    <row r="29" spans="1:6" x14ac:dyDescent="0.25">
      <c r="A29" t="s">
        <v>60</v>
      </c>
      <c r="B29" s="24"/>
      <c r="C29" s="21"/>
      <c r="D29" s="21"/>
      <c r="E29" s="25"/>
      <c r="F29" s="27">
        <f>0.1+5.3+0.3+0.8+0.7+0.2+0.2+0.9+0.6+1.8+0.6+2.1+0.2+1.5</f>
        <v>15.299999999999999</v>
      </c>
    </row>
    <row r="30" spans="1:6" x14ac:dyDescent="0.25">
      <c r="A30" t="s">
        <v>74</v>
      </c>
      <c r="F30" s="22">
        <f>15.46</f>
        <v>15.46</v>
      </c>
    </row>
    <row r="32" spans="1:6" x14ac:dyDescent="0.25">
      <c r="A32" s="20" t="s">
        <v>49</v>
      </c>
      <c r="B32" s="24"/>
      <c r="C32" s="18"/>
      <c r="D32" s="18"/>
      <c r="E32" s="25"/>
      <c r="F32" s="19"/>
    </row>
    <row r="33" spans="1:6" x14ac:dyDescent="0.25">
      <c r="A33" t="s">
        <v>32</v>
      </c>
      <c r="B33" s="24"/>
      <c r="C33" s="21">
        <v>3.2</v>
      </c>
      <c r="D33" s="21">
        <v>2.3199999999999998</v>
      </c>
      <c r="E33" s="25">
        <f>1.9*1.2</f>
        <v>2.2799999999999998</v>
      </c>
      <c r="F33" s="22">
        <f>C33*D33-E33</f>
        <v>5.1440000000000001</v>
      </c>
    </row>
    <row r="34" spans="1:6" x14ac:dyDescent="0.25">
      <c r="A34" t="s">
        <v>25</v>
      </c>
      <c r="B34" s="24"/>
      <c r="C34" s="21">
        <v>3.23</v>
      </c>
      <c r="D34" s="21">
        <v>3.9</v>
      </c>
      <c r="E34" s="25">
        <f>2.94*2.27</f>
        <v>6.6738</v>
      </c>
      <c r="F34" s="22">
        <f>C34*D34-E34</f>
        <v>5.9231999999999996</v>
      </c>
    </row>
    <row r="35" spans="1:6" x14ac:dyDescent="0.25">
      <c r="A35" t="s">
        <v>25</v>
      </c>
      <c r="B35" s="24"/>
      <c r="C35" s="21">
        <v>1.68</v>
      </c>
      <c r="D35" s="21">
        <f>2.18+0.07</f>
        <v>2.25</v>
      </c>
      <c r="E35" s="25"/>
      <c r="F35" s="22">
        <f>C35*D35-E35</f>
        <v>3.78</v>
      </c>
    </row>
    <row r="36" spans="1:6" x14ac:dyDescent="0.25">
      <c r="A36" t="s">
        <v>56</v>
      </c>
      <c r="B36" s="24"/>
      <c r="C36" s="21"/>
      <c r="D36" s="21"/>
      <c r="E36" s="25"/>
      <c r="F36" s="27">
        <f>1.2+0.1+0.3</f>
        <v>1.6</v>
      </c>
    </row>
    <row r="37" spans="1:6" x14ac:dyDescent="0.25">
      <c r="A37" t="s">
        <v>54</v>
      </c>
      <c r="F37" s="27">
        <f>1.2+2.12*2</f>
        <v>5.44</v>
      </c>
    </row>
    <row r="38" spans="1:6" x14ac:dyDescent="0.25">
      <c r="A38" t="s">
        <v>60</v>
      </c>
      <c r="B38" s="24"/>
      <c r="C38" s="21"/>
      <c r="D38" s="21"/>
      <c r="E38" s="25"/>
      <c r="F38" s="27">
        <f>1.2+0.6+0.1+0.1+2.2+3.2+1.7+0.2+0.2+1+3.3</f>
        <v>13.799999999999997</v>
      </c>
    </row>
    <row r="39" spans="1:6" x14ac:dyDescent="0.25">
      <c r="A39" t="s">
        <v>74</v>
      </c>
      <c r="F39" s="22">
        <f>17.42</f>
        <v>17.420000000000002</v>
      </c>
    </row>
    <row r="41" spans="1:6" x14ac:dyDescent="0.25">
      <c r="A41" s="20" t="s">
        <v>61</v>
      </c>
      <c r="B41" s="24"/>
      <c r="C41" s="18"/>
      <c r="D41" s="18"/>
      <c r="E41" s="25"/>
      <c r="F41" s="19"/>
    </row>
    <row r="42" spans="1:6" x14ac:dyDescent="0.25">
      <c r="A42" t="s">
        <v>60</v>
      </c>
      <c r="B42" s="24"/>
      <c r="C42" s="21"/>
      <c r="D42" s="21"/>
      <c r="E42" s="25"/>
      <c r="F42" s="27">
        <f>0.2+0.1+1.1+2.3+1+0.6+0.6</f>
        <v>5.8999999999999995</v>
      </c>
    </row>
    <row r="43" spans="1:6" x14ac:dyDescent="0.25">
      <c r="A43" t="s">
        <v>74</v>
      </c>
      <c r="F43" s="22">
        <f>5</f>
        <v>5</v>
      </c>
    </row>
    <row r="45" spans="1:6" x14ac:dyDescent="0.25">
      <c r="A45" s="20" t="s">
        <v>61</v>
      </c>
      <c r="B45" s="24"/>
      <c r="C45" s="18"/>
      <c r="D45" s="18"/>
      <c r="E45" s="25"/>
      <c r="F45" s="19"/>
    </row>
    <row r="46" spans="1:6" x14ac:dyDescent="0.25">
      <c r="A46" t="s">
        <v>74</v>
      </c>
      <c r="F46" s="22">
        <f>5.08</f>
        <v>5.08</v>
      </c>
    </row>
    <row r="47" spans="1:6" ht="15.75" thickBot="1" x14ac:dyDescent="0.3">
      <c r="F47" s="22"/>
    </row>
    <row r="48" spans="1:6" ht="15.75" thickBot="1" x14ac:dyDescent="0.3">
      <c r="A48" s="41" t="s">
        <v>23</v>
      </c>
      <c r="B48" s="42"/>
    </row>
    <row r="49" spans="1:12" x14ac:dyDescent="0.25">
      <c r="A49" t="str" cm="1">
        <f t="array" ref="A49:B55">_xlfn.GROUPBY(A7:A46,F7:F46,_xleta.SUM,,0,,NOT(ISBLANK(F7:F46)))</f>
        <v>Boîte à rideau</v>
      </c>
      <c r="B49" s="48">
        <v>7.7999999999999989</v>
      </c>
    </row>
    <row r="50" spans="1:12" x14ac:dyDescent="0.25">
      <c r="A50" t="str">
        <v>Encadrement</v>
      </c>
      <c r="B50" s="28">
        <v>46.519999999999996</v>
      </c>
    </row>
    <row r="51" spans="1:12" ht="15.75" customHeight="1" x14ac:dyDescent="0.25">
      <c r="A51" t="str">
        <v>Lit</v>
      </c>
      <c r="B51" s="47">
        <v>16.048000000000002</v>
      </c>
      <c r="G51" s="4"/>
      <c r="H51" s="5"/>
      <c r="I51" s="4"/>
      <c r="J51" s="4"/>
      <c r="K51" s="5"/>
      <c r="L51" s="4"/>
    </row>
    <row r="52" spans="1:12" ht="15.75" customHeight="1" x14ac:dyDescent="0.25">
      <c r="A52" t="str">
        <v>Mur</v>
      </c>
      <c r="B52" s="47">
        <v>11.634</v>
      </c>
    </row>
    <row r="53" spans="1:12" x14ac:dyDescent="0.25">
      <c r="A53" t="str">
        <v>Parquet</v>
      </c>
      <c r="B53" s="47">
        <v>110.91</v>
      </c>
    </row>
    <row r="54" spans="1:12" x14ac:dyDescent="0.25">
      <c r="A54" t="str">
        <v>Plafond</v>
      </c>
      <c r="B54" s="43">
        <v>46.716200000000008</v>
      </c>
    </row>
    <row r="55" spans="1:12" x14ac:dyDescent="0.25">
      <c r="A55" t="str">
        <v>Plinthe</v>
      </c>
      <c r="B55" s="28">
        <v>72.399999999999991</v>
      </c>
    </row>
    <row r="57" spans="1:12" x14ac:dyDescent="0.25">
      <c r="A57" s="2" t="s">
        <v>1</v>
      </c>
      <c r="B57" s="3"/>
      <c r="C57" s="2" t="s">
        <v>2</v>
      </c>
      <c r="D57" s="2" t="s">
        <v>3</v>
      </c>
      <c r="E57" s="52" t="s">
        <v>7</v>
      </c>
      <c r="F57" s="52"/>
    </row>
    <row r="59" spans="1:12" x14ac:dyDescent="0.25">
      <c r="A59" s="9" t="s">
        <v>4</v>
      </c>
      <c r="B59" s="10"/>
      <c r="C59" s="30">
        <f>B52*2</f>
        <v>23.268000000000001</v>
      </c>
      <c r="D59" s="10" t="s">
        <v>8</v>
      </c>
      <c r="E59" s="54" t="s">
        <v>13</v>
      </c>
      <c r="F59" s="55"/>
      <c r="G59" s="1"/>
    </row>
    <row r="60" spans="1:12" x14ac:dyDescent="0.25">
      <c r="A60" s="14" t="s">
        <v>5</v>
      </c>
      <c r="B60" s="13"/>
      <c r="C60" s="31">
        <f>B51*2+B53*4+B49*4</f>
        <v>506.93599999999998</v>
      </c>
      <c r="D60" s="13" t="s">
        <v>8</v>
      </c>
      <c r="E60" s="37"/>
      <c r="F60" s="38"/>
      <c r="G60" s="1"/>
    </row>
    <row r="62" spans="1:12" x14ac:dyDescent="0.25">
      <c r="A62" s="7" t="s">
        <v>6</v>
      </c>
      <c r="B62" s="8"/>
      <c r="C62" s="29">
        <f>(SUM(B51:B53)+B50*0.2+ROUNDUP(0.04*B49,1))*(1+E62)</f>
        <v>163.12559999999999</v>
      </c>
      <c r="D62" s="8" t="s">
        <v>9</v>
      </c>
      <c r="E62" s="33">
        <v>0.1</v>
      </c>
      <c r="F62" s="32" t="s">
        <v>45</v>
      </c>
    </row>
    <row r="64" spans="1:12" x14ac:dyDescent="0.25">
      <c r="A64" s="9" t="s">
        <v>10</v>
      </c>
      <c r="B64" s="10"/>
      <c r="C64" s="10"/>
      <c r="D64" s="10"/>
      <c r="E64" s="34"/>
      <c r="F64" s="35"/>
    </row>
    <row r="65" spans="1:6" x14ac:dyDescent="0.25">
      <c r="A65" s="11" t="s">
        <v>11</v>
      </c>
      <c r="C65">
        <f>B49*1</f>
        <v>7.7999999999999989</v>
      </c>
      <c r="D65" t="s">
        <v>8</v>
      </c>
      <c r="E65" s="15"/>
      <c r="F65" s="36"/>
    </row>
    <row r="66" spans="1:6" x14ac:dyDescent="0.25">
      <c r="A66" s="12" t="s">
        <v>12</v>
      </c>
      <c r="B66" s="13"/>
      <c r="C66" s="13">
        <f>B49*2</f>
        <v>15.599999999999998</v>
      </c>
      <c r="D66" s="13" t="s">
        <v>8</v>
      </c>
      <c r="E66" s="37"/>
      <c r="F66" s="38"/>
    </row>
    <row r="67" spans="1:6" x14ac:dyDescent="0.25">
      <c r="C67" s="21"/>
      <c r="D67" s="26"/>
      <c r="F67" s="28"/>
    </row>
    <row r="68" spans="1:6" x14ac:dyDescent="0.25">
      <c r="B68" s="43"/>
      <c r="C68" s="21"/>
      <c r="D68" s="26"/>
      <c r="F68" s="22"/>
    </row>
    <row r="87" spans="1:6" x14ac:dyDescent="0.25">
      <c r="E87" s="53"/>
      <c r="F87" s="53"/>
    </row>
    <row r="88" spans="1:6" x14ac:dyDescent="0.25">
      <c r="E88" s="53"/>
      <c r="F88" s="53"/>
    </row>
    <row r="90" spans="1:6" x14ac:dyDescent="0.25">
      <c r="E90" s="15"/>
      <c r="F90" s="15"/>
    </row>
    <row r="92" spans="1:6" x14ac:dyDescent="0.25">
      <c r="E92" s="15"/>
      <c r="F92" s="15"/>
    </row>
    <row r="93" spans="1:6" x14ac:dyDescent="0.25">
      <c r="A93" s="1"/>
      <c r="E93" s="15"/>
      <c r="F93" s="15"/>
    </row>
    <row r="94" spans="1:6" x14ac:dyDescent="0.25">
      <c r="A94" s="1"/>
      <c r="E94" s="15"/>
      <c r="F94" s="15"/>
    </row>
    <row r="102" spans="1:1" x14ac:dyDescent="0.25">
      <c r="A102" s="1"/>
    </row>
    <row r="103" spans="1:1" x14ac:dyDescent="0.25">
      <c r="A103" s="1"/>
    </row>
  </sheetData>
  <mergeCells count="5">
    <mergeCell ref="A2:F2"/>
    <mergeCell ref="E57:F57"/>
    <mergeCell ref="E59:F59"/>
    <mergeCell ref="E87:F87"/>
    <mergeCell ref="E88:F88"/>
  </mergeCells>
  <pageMargins left="0.7" right="0.7" top="0.75" bottom="0.75" header="0.3" footer="0.3"/>
  <pageSetup paperSize="9" orientation="portrait" horizontalDpi="0" verticalDpi="0" r:id="rId1"/>
  <headerFooter>
    <oddHeader>&amp;L
&amp;C&amp;"-,Gras"&amp;20METRE - LE KANGTO</oddHeader>
    <oddFooter>&amp;C&amp;P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9D1284-A5C3-473D-B6D6-DEB3A24BA7A8}">
  <dimension ref="A1:L94"/>
  <sheetViews>
    <sheetView view="pageLayout" topLeftCell="A32" zoomScaleNormal="100" workbookViewId="0">
      <selection activeCell="A54" sqref="A54"/>
    </sheetView>
  </sheetViews>
  <sheetFormatPr baseColWidth="10" defaultRowHeight="15" x14ac:dyDescent="0.25"/>
  <cols>
    <col min="1" max="1" width="31.28515625" customWidth="1"/>
    <col min="3" max="3" width="8.85546875" bestFit="1" customWidth="1"/>
    <col min="4" max="4" width="8.85546875" customWidth="1"/>
    <col min="5" max="5" width="8.5703125" customWidth="1"/>
    <col min="6" max="6" width="13.5703125" customWidth="1"/>
  </cols>
  <sheetData>
    <row r="1" spans="1:10" ht="15.75" thickBot="1" x14ac:dyDescent="0.3"/>
    <row r="2" spans="1:10" ht="21.75" thickBot="1" x14ac:dyDescent="0.4">
      <c r="A2" s="49" t="s">
        <v>0</v>
      </c>
      <c r="B2" s="50"/>
      <c r="C2" s="50"/>
      <c r="D2" s="50"/>
      <c r="E2" s="50"/>
      <c r="F2" s="51"/>
      <c r="G2" s="6"/>
      <c r="H2" s="6"/>
      <c r="I2" s="6"/>
      <c r="J2" s="6"/>
    </row>
    <row r="3" spans="1:10" ht="15.75" customHeight="1" x14ac:dyDescent="0.25"/>
    <row r="4" spans="1:10" x14ac:dyDescent="0.25">
      <c r="A4" s="16" t="s">
        <v>18</v>
      </c>
      <c r="B4" s="17" t="s">
        <v>30</v>
      </c>
      <c r="C4" s="16" t="s">
        <v>19</v>
      </c>
      <c r="D4" s="16" t="s">
        <v>20</v>
      </c>
      <c r="E4" s="16" t="s">
        <v>22</v>
      </c>
      <c r="F4" s="16" t="s">
        <v>23</v>
      </c>
    </row>
    <row r="5" spans="1:10" x14ac:dyDescent="0.25">
      <c r="D5" s="15"/>
      <c r="E5" s="23"/>
    </row>
    <row r="6" spans="1:10" x14ac:dyDescent="0.25">
      <c r="A6" s="20" t="s">
        <v>46</v>
      </c>
      <c r="C6" s="18"/>
      <c r="D6" s="18"/>
      <c r="E6" s="22"/>
    </row>
    <row r="7" spans="1:10" x14ac:dyDescent="0.25">
      <c r="A7" t="s">
        <v>29</v>
      </c>
      <c r="B7" s="24"/>
      <c r="C7" s="21">
        <v>4.88</v>
      </c>
      <c r="D7" s="21">
        <v>2.4</v>
      </c>
      <c r="E7" s="25">
        <f>2.3*2.1</f>
        <v>4.83</v>
      </c>
      <c r="F7" s="22">
        <f>C7*D7-E7</f>
        <v>6.8819999999999997</v>
      </c>
    </row>
    <row r="8" spans="1:10" x14ac:dyDescent="0.25">
      <c r="A8" t="s">
        <v>25</v>
      </c>
      <c r="B8" s="24"/>
      <c r="C8" s="21">
        <v>4.88</v>
      </c>
      <c r="D8" s="21">
        <v>4.5</v>
      </c>
      <c r="E8" s="25"/>
      <c r="F8" s="22">
        <f>C8*D8-E8</f>
        <v>21.96</v>
      </c>
    </row>
    <row r="9" spans="1:10" x14ac:dyDescent="0.25">
      <c r="A9" t="s">
        <v>56</v>
      </c>
      <c r="B9" s="24"/>
      <c r="C9" s="21"/>
      <c r="D9" s="21"/>
      <c r="E9" s="25"/>
      <c r="F9" s="27">
        <f>2.4+0.3+2.4+0.3*2</f>
        <v>5.6999999999999993</v>
      </c>
    </row>
    <row r="10" spans="1:10" x14ac:dyDescent="0.25">
      <c r="A10" t="s">
        <v>54</v>
      </c>
      <c r="B10" s="24"/>
      <c r="C10" s="21"/>
      <c r="D10" s="21"/>
      <c r="E10" s="25"/>
      <c r="F10" s="27">
        <f>(2.4+2.12*2)*2</f>
        <v>13.280000000000001</v>
      </c>
    </row>
    <row r="11" spans="1:10" x14ac:dyDescent="0.25">
      <c r="A11" t="s">
        <v>74</v>
      </c>
      <c r="F11" s="22">
        <f>28.45-6</f>
        <v>22.45</v>
      </c>
    </row>
    <row r="12" spans="1:10" x14ac:dyDescent="0.25">
      <c r="F12" s="22"/>
    </row>
    <row r="13" spans="1:10" x14ac:dyDescent="0.25">
      <c r="A13" s="20" t="s">
        <v>27</v>
      </c>
      <c r="B13" s="24"/>
      <c r="C13" s="18"/>
      <c r="D13" s="18"/>
      <c r="E13" s="25"/>
      <c r="F13" s="19"/>
    </row>
    <row r="14" spans="1:10" x14ac:dyDescent="0.25">
      <c r="A14" t="s">
        <v>32</v>
      </c>
      <c r="B14" s="24"/>
      <c r="C14" s="21">
        <f>1.8+0.15+0.15+0.7*2</f>
        <v>3.5</v>
      </c>
      <c r="D14" s="21">
        <v>2.3199999999999998</v>
      </c>
      <c r="E14" s="25"/>
      <c r="F14" s="22">
        <f>C14*D14-E14</f>
        <v>8.1199999999999992</v>
      </c>
    </row>
    <row r="15" spans="1:10" x14ac:dyDescent="0.25">
      <c r="A15" t="s">
        <v>25</v>
      </c>
      <c r="B15" s="24"/>
      <c r="C15" s="21">
        <v>3.3</v>
      </c>
      <c r="D15" s="21">
        <v>3.39</v>
      </c>
      <c r="E15" s="25">
        <f>2.34*2.01</f>
        <v>4.7033999999999994</v>
      </c>
      <c r="F15" s="22">
        <f>C15*D15-E15</f>
        <v>6.4836</v>
      </c>
    </row>
    <row r="16" spans="1:10" x14ac:dyDescent="0.25">
      <c r="A16" t="s">
        <v>56</v>
      </c>
      <c r="B16" s="24"/>
      <c r="C16" s="21"/>
      <c r="D16" s="21"/>
      <c r="E16" s="25"/>
      <c r="F16" s="27">
        <f>1.2+0.1+0.3</f>
        <v>1.6</v>
      </c>
    </row>
    <row r="17" spans="1:6" x14ac:dyDescent="0.25">
      <c r="A17" t="s">
        <v>54</v>
      </c>
      <c r="B17" s="24"/>
      <c r="C17" s="21"/>
      <c r="D17" s="21"/>
      <c r="E17" s="25"/>
      <c r="F17" s="27">
        <f>1.2+2.12*2</f>
        <v>5.44</v>
      </c>
    </row>
    <row r="18" spans="1:6" x14ac:dyDescent="0.25">
      <c r="A18" t="s">
        <v>74</v>
      </c>
      <c r="F18" s="22">
        <f>11.38</f>
        <v>11.38</v>
      </c>
    </row>
    <row r="20" spans="1:6" x14ac:dyDescent="0.25">
      <c r="A20" s="20" t="s">
        <v>47</v>
      </c>
      <c r="B20" s="24"/>
      <c r="C20" s="18"/>
      <c r="D20" s="18"/>
      <c r="E20" s="25"/>
      <c r="F20" s="19"/>
    </row>
    <row r="21" spans="1:6" x14ac:dyDescent="0.25">
      <c r="A21" t="s">
        <v>29</v>
      </c>
      <c r="B21" s="24"/>
      <c r="C21" s="21">
        <f>5.9+3.35</f>
        <v>9.25</v>
      </c>
      <c r="D21" s="21">
        <v>2.4</v>
      </c>
      <c r="E21" s="25">
        <f>0.9*2.1*4+1.1*2.4+1*2.4</f>
        <v>12.600000000000001</v>
      </c>
      <c r="F21" s="22">
        <f>C21*D21-E21</f>
        <v>9.5999999999999979</v>
      </c>
    </row>
    <row r="22" spans="1:6" x14ac:dyDescent="0.25">
      <c r="A22" t="s">
        <v>25</v>
      </c>
      <c r="B22" s="24"/>
      <c r="C22" s="21">
        <v>1.05</v>
      </c>
      <c r="D22" s="21">
        <v>5.88</v>
      </c>
      <c r="E22" s="25"/>
      <c r="F22" s="22">
        <f>C22*D22-E22</f>
        <v>6.1740000000000004</v>
      </c>
    </row>
    <row r="23" spans="1:6" x14ac:dyDescent="0.25">
      <c r="A23" t="s">
        <v>25</v>
      </c>
      <c r="B23" s="24"/>
      <c r="C23" s="21">
        <v>2.2999999999999998</v>
      </c>
      <c r="D23" s="21">
        <v>1.3</v>
      </c>
      <c r="E23" s="25"/>
      <c r="F23" s="22">
        <f>C23*D23-E23</f>
        <v>2.9899999999999998</v>
      </c>
    </row>
    <row r="24" spans="1:6" x14ac:dyDescent="0.25">
      <c r="A24" t="s">
        <v>74</v>
      </c>
      <c r="F24" s="22">
        <f>11.53</f>
        <v>11.53</v>
      </c>
    </row>
    <row r="25" spans="1:6" x14ac:dyDescent="0.25">
      <c r="B25" s="24"/>
      <c r="C25" s="21"/>
      <c r="D25" s="21"/>
      <c r="E25" s="25"/>
      <c r="F25" s="22"/>
    </row>
    <row r="26" spans="1:6" x14ac:dyDescent="0.25">
      <c r="A26" s="20" t="s">
        <v>48</v>
      </c>
      <c r="B26" s="24"/>
      <c r="C26" s="18"/>
      <c r="D26" s="18"/>
      <c r="E26" s="25"/>
      <c r="F26" s="19"/>
    </row>
    <row r="27" spans="1:6" x14ac:dyDescent="0.25">
      <c r="A27" t="s">
        <v>32</v>
      </c>
      <c r="B27" s="24"/>
      <c r="C27" s="21">
        <f>1.8+0.15+0.15+0.7*2</f>
        <v>3.5</v>
      </c>
      <c r="D27" s="21">
        <v>2.3199999999999998</v>
      </c>
      <c r="E27" s="25"/>
      <c r="F27" s="22">
        <f>C27*D27-E27</f>
        <v>8.1199999999999992</v>
      </c>
    </row>
    <row r="28" spans="1:6" x14ac:dyDescent="0.25">
      <c r="A28" t="s">
        <v>25</v>
      </c>
      <c r="B28" s="24"/>
      <c r="C28" s="21">
        <v>3.03</v>
      </c>
      <c r="D28" s="21">
        <v>3.15</v>
      </c>
      <c r="E28" s="25">
        <f>1.82*2.07</f>
        <v>3.7673999999999999</v>
      </c>
      <c r="F28" s="22">
        <f>C28*D28-E28</f>
        <v>5.777099999999999</v>
      </c>
    </row>
    <row r="29" spans="1:6" x14ac:dyDescent="0.25">
      <c r="A29" t="s">
        <v>25</v>
      </c>
      <c r="B29" s="24"/>
      <c r="C29" s="21">
        <v>1.85</v>
      </c>
      <c r="D29" s="21">
        <v>1</v>
      </c>
      <c r="E29" s="25"/>
      <c r="F29" s="22">
        <f>C29*D29-E29</f>
        <v>1.85</v>
      </c>
    </row>
    <row r="30" spans="1:6" x14ac:dyDescent="0.25">
      <c r="A30" t="s">
        <v>56</v>
      </c>
      <c r="B30" s="24"/>
      <c r="C30" s="21"/>
      <c r="D30" s="21"/>
      <c r="E30" s="25"/>
      <c r="F30" s="27">
        <f>1.2+0.1+0.3</f>
        <v>1.6</v>
      </c>
    </row>
    <row r="31" spans="1:6" x14ac:dyDescent="0.25">
      <c r="A31" t="s">
        <v>54</v>
      </c>
      <c r="B31" s="24"/>
      <c r="C31" s="21"/>
      <c r="D31" s="21"/>
      <c r="E31" s="25"/>
      <c r="F31" s="27">
        <f>1.2+2.12*2</f>
        <v>5.44</v>
      </c>
    </row>
    <row r="32" spans="1:6" x14ac:dyDescent="0.25">
      <c r="A32" t="s">
        <v>74</v>
      </c>
      <c r="F32" s="22">
        <f>11.24</f>
        <v>11.24</v>
      </c>
    </row>
    <row r="34" spans="1:12" x14ac:dyDescent="0.25">
      <c r="A34" s="20" t="s">
        <v>49</v>
      </c>
      <c r="B34" s="24"/>
      <c r="C34" s="18"/>
      <c r="D34" s="18"/>
      <c r="E34" s="25"/>
      <c r="F34" s="19"/>
    </row>
    <row r="35" spans="1:12" x14ac:dyDescent="0.25">
      <c r="A35" t="s">
        <v>32</v>
      </c>
      <c r="B35" s="24"/>
      <c r="C35" s="21">
        <f>1.8+0.15+0.15+0.7*2</f>
        <v>3.5</v>
      </c>
      <c r="D35" s="21">
        <v>1.05</v>
      </c>
      <c r="E35" s="25"/>
      <c r="F35" s="22">
        <f>C35*D35-E35</f>
        <v>3.6750000000000003</v>
      </c>
    </row>
    <row r="36" spans="1:12" x14ac:dyDescent="0.25">
      <c r="A36" t="s">
        <v>50</v>
      </c>
      <c r="B36" s="24"/>
      <c r="C36" s="21">
        <v>2.39</v>
      </c>
      <c r="D36" s="21">
        <v>2.0699999999999998</v>
      </c>
      <c r="E36" s="25"/>
      <c r="F36" s="22">
        <f>C36*D36-E36</f>
        <v>4.9473000000000003</v>
      </c>
    </row>
    <row r="37" spans="1:12" x14ac:dyDescent="0.25">
      <c r="A37" t="s">
        <v>54</v>
      </c>
      <c r="F37" s="27">
        <f>1.2+2.12*2</f>
        <v>5.44</v>
      </c>
    </row>
    <row r="38" spans="1:12" x14ac:dyDescent="0.25">
      <c r="A38" t="s">
        <v>74</v>
      </c>
      <c r="F38" s="22">
        <f>14.12</f>
        <v>14.12</v>
      </c>
    </row>
    <row r="40" spans="1:12" x14ac:dyDescent="0.25">
      <c r="A40" s="20" t="s">
        <v>61</v>
      </c>
    </row>
    <row r="41" spans="1:12" x14ac:dyDescent="0.25">
      <c r="A41" t="s">
        <v>74</v>
      </c>
      <c r="F41" s="22">
        <f>4.83</f>
        <v>4.83</v>
      </c>
    </row>
    <row r="42" spans="1:12" ht="15.75" customHeight="1" x14ac:dyDescent="0.25">
      <c r="G42" s="4"/>
      <c r="H42" s="5"/>
      <c r="I42" s="4"/>
      <c r="J42" s="4"/>
      <c r="K42" s="5"/>
      <c r="L42" s="4"/>
    </row>
    <row r="43" spans="1:12" ht="15.75" customHeight="1" x14ac:dyDescent="0.25"/>
    <row r="50" spans="1:7" x14ac:dyDescent="0.25">
      <c r="G50" s="1"/>
    </row>
    <row r="51" spans="1:7" x14ac:dyDescent="0.25">
      <c r="G51" s="1"/>
    </row>
    <row r="52" spans="1:7" ht="15.75" thickBot="1" x14ac:dyDescent="0.3"/>
    <row r="53" spans="1:7" ht="15.75" thickBot="1" x14ac:dyDescent="0.3">
      <c r="A53" s="56" t="s">
        <v>23</v>
      </c>
      <c r="B53" s="57"/>
      <c r="C53" s="44"/>
      <c r="D53" s="26"/>
    </row>
    <row r="54" spans="1:7" x14ac:dyDescent="0.25">
      <c r="A54" t="str" cm="1">
        <f t="array" ref="A54:B60">_xlfn.GROUPBY(A7:A41,F7:F41,_xleta.SUM,,0,,NOT(ISBLANK(F7:F41)))</f>
        <v>Boîte à rideau</v>
      </c>
      <c r="B54" s="48">
        <v>8.8999999999999986</v>
      </c>
      <c r="C54" s="21"/>
      <c r="D54" s="26"/>
      <c r="F54" s="43"/>
    </row>
    <row r="55" spans="1:7" x14ac:dyDescent="0.25">
      <c r="A55" t="str">
        <v>Encadrement</v>
      </c>
      <c r="B55" s="48">
        <v>29.600000000000005</v>
      </c>
      <c r="C55" s="21"/>
      <c r="D55" s="26"/>
      <c r="F55" s="43"/>
    </row>
    <row r="56" spans="1:7" x14ac:dyDescent="0.25">
      <c r="A56" t="str">
        <v>Lit</v>
      </c>
      <c r="B56" s="47">
        <v>19.914999999999999</v>
      </c>
      <c r="C56" s="21"/>
      <c r="D56" s="26"/>
      <c r="F56" s="43"/>
    </row>
    <row r="57" spans="1:7" x14ac:dyDescent="0.25">
      <c r="A57" t="str">
        <v>Mur</v>
      </c>
      <c r="B57" s="47">
        <v>16.481999999999999</v>
      </c>
      <c r="C57" s="21"/>
      <c r="D57" s="26"/>
      <c r="F57" s="43"/>
    </row>
    <row r="58" spans="1:7" x14ac:dyDescent="0.25">
      <c r="A58" t="str">
        <v>Parquet</v>
      </c>
      <c r="B58" s="43">
        <v>75.55</v>
      </c>
      <c r="C58" s="21"/>
      <c r="D58" s="26"/>
      <c r="F58" s="28"/>
    </row>
    <row r="59" spans="1:7" x14ac:dyDescent="0.25">
      <c r="A59" t="str">
        <v>Plafond</v>
      </c>
      <c r="B59" s="43">
        <v>45.234700000000004</v>
      </c>
      <c r="C59" s="21"/>
      <c r="D59" s="26"/>
      <c r="F59" s="22"/>
    </row>
    <row r="60" spans="1:7" x14ac:dyDescent="0.25">
      <c r="A60" t="str">
        <v>Plafondbas</v>
      </c>
      <c r="B60" s="43">
        <v>4.9473000000000003</v>
      </c>
    </row>
    <row r="62" spans="1:7" x14ac:dyDescent="0.25">
      <c r="A62" s="2" t="s">
        <v>1</v>
      </c>
      <c r="B62" s="3"/>
      <c r="C62" s="2" t="s">
        <v>2</v>
      </c>
      <c r="D62" s="2" t="s">
        <v>3</v>
      </c>
      <c r="E62" s="52" t="s">
        <v>7</v>
      </c>
      <c r="F62" s="52"/>
    </row>
    <row r="64" spans="1:7" x14ac:dyDescent="0.25">
      <c r="A64" s="9" t="s">
        <v>4</v>
      </c>
      <c r="B64" s="10"/>
      <c r="C64" s="30">
        <f>B57*2.5+B59*2</f>
        <v>131.67439999999999</v>
      </c>
      <c r="D64" s="10" t="s">
        <v>8</v>
      </c>
      <c r="E64" s="34" t="s">
        <v>13</v>
      </c>
      <c r="F64" s="35"/>
    </row>
    <row r="65" spans="1:6" x14ac:dyDescent="0.25">
      <c r="A65" s="14" t="s">
        <v>5</v>
      </c>
      <c r="B65" s="13"/>
      <c r="C65" s="31">
        <f>B56*2+B58*4+B54*4</f>
        <v>377.63</v>
      </c>
      <c r="D65" s="13" t="s">
        <v>8</v>
      </c>
      <c r="E65" s="37"/>
      <c r="F65" s="38"/>
    </row>
    <row r="67" spans="1:6" x14ac:dyDescent="0.25">
      <c r="A67" s="7" t="s">
        <v>6</v>
      </c>
      <c r="B67" s="8"/>
      <c r="C67" s="29">
        <f>(SUM(B56:B59)+ROUNDUP(0.04*B54,1))*(1+E67)</f>
        <v>173.33987000000002</v>
      </c>
      <c r="D67" s="8" t="s">
        <v>9</v>
      </c>
      <c r="E67" s="33">
        <v>0.1</v>
      </c>
      <c r="F67" s="32" t="s">
        <v>45</v>
      </c>
    </row>
    <row r="69" spans="1:6" x14ac:dyDescent="0.25">
      <c r="A69" s="9" t="s">
        <v>10</v>
      </c>
      <c r="B69" s="10"/>
      <c r="C69" s="10"/>
      <c r="D69" s="10"/>
      <c r="E69" s="34"/>
      <c r="F69" s="35"/>
    </row>
    <row r="70" spans="1:6" x14ac:dyDescent="0.25">
      <c r="A70" s="11" t="s">
        <v>11</v>
      </c>
      <c r="C70">
        <f>B54*1</f>
        <v>8.8999999999999986</v>
      </c>
      <c r="D70" t="s">
        <v>8</v>
      </c>
      <c r="E70" s="15"/>
      <c r="F70" s="36"/>
    </row>
    <row r="71" spans="1:6" x14ac:dyDescent="0.25">
      <c r="A71" s="12" t="s">
        <v>12</v>
      </c>
      <c r="B71" s="13"/>
      <c r="C71" s="13">
        <f>B54*2</f>
        <v>17.799999999999997</v>
      </c>
      <c r="D71" s="13" t="s">
        <v>8</v>
      </c>
      <c r="E71" s="37"/>
      <c r="F71" s="38"/>
    </row>
    <row r="76" spans="1:6" x14ac:dyDescent="0.25">
      <c r="A76" t="s">
        <v>34</v>
      </c>
    </row>
    <row r="78" spans="1:6" x14ac:dyDescent="0.25">
      <c r="A78" s="9" t="s">
        <v>4</v>
      </c>
      <c r="B78" s="10"/>
      <c r="C78" s="10">
        <v>50</v>
      </c>
      <c r="D78" s="10" t="s">
        <v>8</v>
      </c>
      <c r="E78" s="54" t="s">
        <v>13</v>
      </c>
      <c r="F78" s="55"/>
    </row>
    <row r="79" spans="1:6" x14ac:dyDescent="0.25">
      <c r="A79" s="14" t="s">
        <v>5</v>
      </c>
      <c r="B79" s="13"/>
      <c r="C79" s="13">
        <v>232</v>
      </c>
      <c r="D79" s="13" t="s">
        <v>8</v>
      </c>
      <c r="E79" s="58"/>
      <c r="F79" s="59"/>
    </row>
    <row r="81" spans="1:6" x14ac:dyDescent="0.25">
      <c r="A81" s="7" t="s">
        <v>6</v>
      </c>
      <c r="B81" s="8"/>
      <c r="C81" s="8">
        <v>91</v>
      </c>
      <c r="D81" s="8" t="s">
        <v>9</v>
      </c>
      <c r="E81" s="39" t="s">
        <v>14</v>
      </c>
      <c r="F81" s="40"/>
    </row>
    <row r="83" spans="1:6" x14ac:dyDescent="0.25">
      <c r="A83" s="9" t="s">
        <v>10</v>
      </c>
      <c r="B83" s="10"/>
      <c r="C83" s="10"/>
      <c r="D83" s="10"/>
      <c r="E83" s="34"/>
      <c r="F83" s="35"/>
    </row>
    <row r="84" spans="1:6" x14ac:dyDescent="0.25">
      <c r="A84" s="11" t="s">
        <v>11</v>
      </c>
      <c r="C84">
        <v>10</v>
      </c>
      <c r="D84" t="s">
        <v>8</v>
      </c>
      <c r="E84" s="36"/>
      <c r="F84" s="36"/>
    </row>
    <row r="85" spans="1:6" x14ac:dyDescent="0.25">
      <c r="A85" s="12" t="s">
        <v>12</v>
      </c>
      <c r="B85" s="13"/>
      <c r="C85" s="13">
        <v>20</v>
      </c>
      <c r="D85" s="13" t="s">
        <v>8</v>
      </c>
      <c r="E85" s="37"/>
      <c r="F85" s="38"/>
    </row>
    <row r="93" spans="1:6" x14ac:dyDescent="0.25">
      <c r="A93" s="1"/>
    </row>
    <row r="94" spans="1:6" x14ac:dyDescent="0.25">
      <c r="A94" s="1"/>
    </row>
  </sheetData>
  <mergeCells count="5">
    <mergeCell ref="A2:F2"/>
    <mergeCell ref="A53:B53"/>
    <mergeCell ref="E62:F62"/>
    <mergeCell ref="E79:F79"/>
    <mergeCell ref="E78:F78"/>
  </mergeCells>
  <pageMargins left="0.7" right="0.7" top="0.75" bottom="0.75" header="0.3" footer="0.3"/>
  <pageSetup paperSize="9" orientation="portrait" horizontalDpi="0" verticalDpi="0" r:id="rId1"/>
  <headerFooter>
    <oddHeader>&amp;L
&amp;C&amp;"-,Gras"&amp;20METRE - LE KANGTO</oddHeader>
    <oddFooter>&amp;C&amp;P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7B2D10-E4B3-43F8-8467-987C8F015057}">
  <dimension ref="A1:L134"/>
  <sheetViews>
    <sheetView tabSelected="1" view="pageLayout" topLeftCell="A19" zoomScaleNormal="100" workbookViewId="0">
      <selection activeCell="B81" sqref="B81"/>
    </sheetView>
  </sheetViews>
  <sheetFormatPr baseColWidth="10" defaultRowHeight="15" x14ac:dyDescent="0.25"/>
  <cols>
    <col min="1" max="1" width="31.28515625" customWidth="1"/>
    <col min="4" max="4" width="7.7109375" bestFit="1" customWidth="1"/>
    <col min="5" max="5" width="8.5703125" customWidth="1"/>
    <col min="6" max="6" width="13.5703125" customWidth="1"/>
  </cols>
  <sheetData>
    <row r="1" spans="1:10" ht="15.75" thickBot="1" x14ac:dyDescent="0.3"/>
    <row r="2" spans="1:10" ht="21.75" thickBot="1" x14ac:dyDescent="0.4">
      <c r="A2" s="49" t="s">
        <v>15</v>
      </c>
      <c r="B2" s="50"/>
      <c r="C2" s="50"/>
      <c r="D2" s="50"/>
      <c r="E2" s="50"/>
      <c r="F2" s="51"/>
      <c r="G2" s="6"/>
      <c r="H2" s="6"/>
      <c r="I2" s="6"/>
      <c r="J2" s="6"/>
    </row>
    <row r="3" spans="1:10" ht="15.75" customHeight="1" x14ac:dyDescent="0.25"/>
    <row r="4" spans="1:10" x14ac:dyDescent="0.25">
      <c r="A4" s="16" t="s">
        <v>18</v>
      </c>
      <c r="B4" s="17" t="s">
        <v>30</v>
      </c>
      <c r="C4" s="16" t="s">
        <v>19</v>
      </c>
      <c r="D4" s="16" t="s">
        <v>20</v>
      </c>
      <c r="E4" s="16" t="s">
        <v>22</v>
      </c>
      <c r="F4" s="16" t="s">
        <v>23</v>
      </c>
    </row>
    <row r="5" spans="1:10" x14ac:dyDescent="0.25">
      <c r="D5" s="15"/>
      <c r="E5" s="23"/>
    </row>
    <row r="6" spans="1:10" x14ac:dyDescent="0.25">
      <c r="A6" s="20" t="s">
        <v>21</v>
      </c>
      <c r="C6" s="18"/>
      <c r="D6" s="18"/>
      <c r="E6" s="22"/>
    </row>
    <row r="7" spans="1:10" x14ac:dyDescent="0.25">
      <c r="A7" t="s">
        <v>32</v>
      </c>
      <c r="B7" s="24"/>
      <c r="C7" s="21">
        <v>2.8</v>
      </c>
      <c r="D7" s="21">
        <v>2.3199999999999998</v>
      </c>
      <c r="E7" s="25">
        <f>2.2*1.35</f>
        <v>2.9700000000000006</v>
      </c>
      <c r="F7" s="22">
        <f>C7*D7-E7</f>
        <v>3.5259999999999989</v>
      </c>
    </row>
    <row r="8" spans="1:10" x14ac:dyDescent="0.25">
      <c r="A8" t="s">
        <v>25</v>
      </c>
      <c r="B8" s="24"/>
      <c r="C8" s="21">
        <v>1</v>
      </c>
      <c r="D8" s="21">
        <v>1.7</v>
      </c>
      <c r="E8" s="25"/>
      <c r="F8" s="22">
        <f>C8*D8-E8</f>
        <v>1.7</v>
      </c>
    </row>
    <row r="9" spans="1:10" x14ac:dyDescent="0.25">
      <c r="A9" t="s">
        <v>25</v>
      </c>
      <c r="B9" s="24"/>
      <c r="C9" s="21">
        <v>3.5</v>
      </c>
      <c r="D9" s="21">
        <v>3.36</v>
      </c>
      <c r="E9" s="25">
        <f>1.7*2.4</f>
        <v>4.08</v>
      </c>
      <c r="F9" s="22">
        <f>C9*D9-E9</f>
        <v>7.68</v>
      </c>
    </row>
    <row r="10" spans="1:10" x14ac:dyDescent="0.25">
      <c r="A10" t="s">
        <v>56</v>
      </c>
      <c r="B10" s="24"/>
      <c r="C10" s="21"/>
      <c r="D10" s="21"/>
      <c r="E10" s="25"/>
      <c r="F10" s="27">
        <f>1.1+0.1+0.3</f>
        <v>1.5000000000000002</v>
      </c>
    </row>
    <row r="11" spans="1:10" ht="15.75" customHeight="1" x14ac:dyDescent="0.25">
      <c r="A11" t="s">
        <v>54</v>
      </c>
      <c r="F11" s="27">
        <f>2.14*2+1.24</f>
        <v>5.5200000000000005</v>
      </c>
      <c r="G11" s="43">
        <f>SUM(F7,F16:F18,F24:F26,F30,F27)</f>
        <v>43.361999999999995</v>
      </c>
    </row>
    <row r="12" spans="1:10" x14ac:dyDescent="0.25">
      <c r="A12" t="s">
        <v>57</v>
      </c>
      <c r="B12" s="24"/>
      <c r="C12" s="21"/>
      <c r="D12" s="21"/>
      <c r="E12" s="25"/>
      <c r="F12" s="27">
        <f>2.9+0.6+0.2+0.2+0.2+1.6+3.3+2.5+0.1+0.6+0.1</f>
        <v>12.299999999999999</v>
      </c>
    </row>
    <row r="13" spans="1:10" x14ac:dyDescent="0.25">
      <c r="A13" t="s">
        <v>74</v>
      </c>
      <c r="F13" s="22">
        <v>13.59</v>
      </c>
    </row>
    <row r="15" spans="1:10" x14ac:dyDescent="0.25">
      <c r="A15" s="20" t="s">
        <v>75</v>
      </c>
      <c r="B15" s="24"/>
      <c r="C15" s="18"/>
      <c r="D15" s="18"/>
      <c r="E15" s="25"/>
      <c r="F15" s="19"/>
    </row>
    <row r="16" spans="1:10" x14ac:dyDescent="0.25">
      <c r="A16" t="s">
        <v>29</v>
      </c>
      <c r="B16" s="24"/>
      <c r="C16" s="21">
        <v>2.1</v>
      </c>
      <c r="D16" s="21">
        <v>2.4</v>
      </c>
      <c r="E16" s="25"/>
      <c r="F16" s="22">
        <f>C16*D16-E16</f>
        <v>5.04</v>
      </c>
    </row>
    <row r="17" spans="1:7" x14ac:dyDescent="0.25">
      <c r="A17" t="s">
        <v>29</v>
      </c>
      <c r="B17" s="24"/>
      <c r="C17" s="21">
        <v>2.2999999999999998</v>
      </c>
      <c r="D17" s="21">
        <v>2.4</v>
      </c>
      <c r="E17" s="25"/>
      <c r="F17" s="22">
        <f>C17*D17-E17</f>
        <v>5.52</v>
      </c>
    </row>
    <row r="18" spans="1:7" ht="15.75" customHeight="1" x14ac:dyDescent="0.25">
      <c r="A18" t="s">
        <v>29</v>
      </c>
      <c r="B18" s="24"/>
      <c r="C18" s="21">
        <v>1</v>
      </c>
      <c r="D18" s="21">
        <v>2.4</v>
      </c>
      <c r="E18" s="25"/>
      <c r="F18" s="22">
        <f>C18*D18-E18</f>
        <v>2.4</v>
      </c>
    </row>
    <row r="19" spans="1:7" x14ac:dyDescent="0.25">
      <c r="A19" t="s">
        <v>54</v>
      </c>
      <c r="F19" s="27">
        <f>2.14*2+0.84</f>
        <v>5.12</v>
      </c>
    </row>
    <row r="20" spans="1:7" x14ac:dyDescent="0.25">
      <c r="A20" t="s">
        <v>57</v>
      </c>
      <c r="B20" s="24"/>
      <c r="C20" s="21"/>
      <c r="D20" s="21"/>
      <c r="E20" s="25"/>
      <c r="F20" s="27">
        <f>0.1+2.1+0.1+0.2+0.2+0.3+0.1+1+2.3+0.2+2.8+0.1+1+2.7+1</f>
        <v>14.2</v>
      </c>
      <c r="G20" s="43"/>
    </row>
    <row r="21" spans="1:7" x14ac:dyDescent="0.25">
      <c r="A21" t="s">
        <v>74</v>
      </c>
      <c r="F21" s="22">
        <f>7.18+13.11</f>
        <v>20.29</v>
      </c>
    </row>
    <row r="22" spans="1:7" x14ac:dyDescent="0.25">
      <c r="B22" s="24"/>
      <c r="C22" s="21"/>
      <c r="D22" s="21"/>
      <c r="E22" s="25"/>
      <c r="F22" s="22"/>
    </row>
    <row r="23" spans="1:7" x14ac:dyDescent="0.25">
      <c r="A23" s="20" t="s">
        <v>53</v>
      </c>
      <c r="B23" s="24"/>
      <c r="C23" s="21"/>
      <c r="D23" s="21"/>
      <c r="E23" s="25"/>
      <c r="F23" s="22"/>
    </row>
    <row r="24" spans="1:7" x14ac:dyDescent="0.25">
      <c r="A24" t="s">
        <v>29</v>
      </c>
      <c r="B24" s="24"/>
      <c r="C24" s="21">
        <v>1</v>
      </c>
      <c r="D24" s="21">
        <v>1.2</v>
      </c>
      <c r="E24" s="25"/>
      <c r="F24" s="22">
        <f>C24*D24-E24</f>
        <v>1.2</v>
      </c>
    </row>
    <row r="25" spans="1:7" x14ac:dyDescent="0.25">
      <c r="A25" t="s">
        <v>29</v>
      </c>
      <c r="B25" s="24"/>
      <c r="C25" s="21">
        <v>2.7</v>
      </c>
      <c r="D25" s="21">
        <v>2.4</v>
      </c>
      <c r="E25" s="25"/>
      <c r="F25" s="22">
        <f>C25*D25-E25</f>
        <v>6.48</v>
      </c>
    </row>
    <row r="26" spans="1:7" x14ac:dyDescent="0.25">
      <c r="A26" t="s">
        <v>29</v>
      </c>
      <c r="B26" s="24"/>
      <c r="C26" s="21">
        <v>2.7</v>
      </c>
      <c r="D26" s="21">
        <f>1.9+2.4</f>
        <v>4.3</v>
      </c>
      <c r="E26" s="25"/>
      <c r="F26" s="22">
        <f>C26*D26-E26</f>
        <v>11.61</v>
      </c>
    </row>
    <row r="27" spans="1:7" x14ac:dyDescent="0.25">
      <c r="A27" t="s">
        <v>29</v>
      </c>
      <c r="B27" s="24"/>
      <c r="C27" s="21">
        <v>1</v>
      </c>
      <c r="D27" s="21">
        <v>2.9</v>
      </c>
      <c r="E27" s="25"/>
      <c r="F27" s="22">
        <f>C27*D27-E27</f>
        <v>2.9</v>
      </c>
    </row>
    <row r="29" spans="1:7" x14ac:dyDescent="0.25">
      <c r="A29" s="20" t="s">
        <v>48</v>
      </c>
      <c r="B29" s="24"/>
      <c r="C29" s="18"/>
      <c r="D29" s="18"/>
      <c r="E29" s="25"/>
      <c r="F29" s="19"/>
    </row>
    <row r="30" spans="1:7" x14ac:dyDescent="0.25">
      <c r="A30" t="s">
        <v>32</v>
      </c>
      <c r="B30" s="24"/>
      <c r="C30" s="21">
        <v>3.3</v>
      </c>
      <c r="D30" s="21">
        <v>2.3199999999999998</v>
      </c>
      <c r="E30" s="25">
        <f>2.2*1.35</f>
        <v>2.9700000000000006</v>
      </c>
      <c r="F30" s="22">
        <f>C30*D30-E30</f>
        <v>4.6859999999999982</v>
      </c>
    </row>
    <row r="31" spans="1:7" x14ac:dyDescent="0.25">
      <c r="A31" t="s">
        <v>25</v>
      </c>
      <c r="B31" s="24"/>
      <c r="C31" s="21">
        <v>1</v>
      </c>
      <c r="D31" s="21">
        <v>2</v>
      </c>
      <c r="E31" s="25"/>
      <c r="F31" s="22">
        <f>C31*D31-E31</f>
        <v>2</v>
      </c>
    </row>
    <row r="32" spans="1:7" x14ac:dyDescent="0.25">
      <c r="A32" t="s">
        <v>25</v>
      </c>
      <c r="B32" s="24"/>
      <c r="C32" s="21">
        <v>3.05</v>
      </c>
      <c r="D32" s="21">
        <v>4.3600000000000003</v>
      </c>
      <c r="E32" s="25">
        <f>2*2.4</f>
        <v>4.8</v>
      </c>
      <c r="F32" s="22">
        <f>C32*D32-E32</f>
        <v>8.4980000000000011</v>
      </c>
    </row>
    <row r="33" spans="1:7" ht="15.75" customHeight="1" x14ac:dyDescent="0.25">
      <c r="A33" t="s">
        <v>56</v>
      </c>
      <c r="B33" s="24"/>
      <c r="C33" s="21"/>
      <c r="D33" s="21"/>
      <c r="E33" s="25"/>
      <c r="F33" s="27">
        <f>(1.6+0.1+0.3)+(1.9+0.1+0.3)</f>
        <v>4.3</v>
      </c>
    </row>
    <row r="34" spans="1:7" x14ac:dyDescent="0.25">
      <c r="A34" t="s">
        <v>54</v>
      </c>
      <c r="F34" s="27">
        <f>2.04+2.14*2+1.62+2.14*2</f>
        <v>12.22</v>
      </c>
    </row>
    <row r="35" spans="1:7" x14ac:dyDescent="0.25">
      <c r="A35" t="s">
        <v>57</v>
      </c>
      <c r="B35" s="24"/>
      <c r="C35" s="21"/>
      <c r="D35" s="21"/>
      <c r="E35" s="25"/>
      <c r="F35" s="27">
        <f>0.1+2.9+0.6+1+0.2+0.2+0.9+0.9+0.2+0.2+0.4+3.2+0.3+0.8+0.1</f>
        <v>12.000000000000002</v>
      </c>
      <c r="G35" s="43"/>
    </row>
    <row r="36" spans="1:7" x14ac:dyDescent="0.25">
      <c r="A36" t="s">
        <v>74</v>
      </c>
      <c r="F36" s="22">
        <f>15.27</f>
        <v>15.27</v>
      </c>
    </row>
    <row r="37" spans="1:7" x14ac:dyDescent="0.25">
      <c r="B37" s="24"/>
      <c r="C37" s="21"/>
      <c r="D37" s="21"/>
      <c r="E37" s="25"/>
      <c r="F37" s="22"/>
    </row>
    <row r="38" spans="1:7" ht="15.75" customHeight="1" x14ac:dyDescent="0.25">
      <c r="A38" s="20" t="s">
        <v>27</v>
      </c>
      <c r="B38" s="24"/>
      <c r="C38" s="21"/>
      <c r="D38" s="21"/>
      <c r="E38" s="25"/>
      <c r="F38" s="22"/>
    </row>
    <row r="39" spans="1:7" ht="15.75" customHeight="1" x14ac:dyDescent="0.25">
      <c r="A39" t="s">
        <v>54</v>
      </c>
      <c r="F39" s="27">
        <f>1.62+2.14*2</f>
        <v>5.9</v>
      </c>
    </row>
    <row r="40" spans="1:7" x14ac:dyDescent="0.25">
      <c r="A40" t="s">
        <v>57</v>
      </c>
      <c r="B40" s="24"/>
      <c r="C40" s="21"/>
      <c r="D40" s="21"/>
      <c r="E40" s="25"/>
      <c r="F40" s="27">
        <f>0.1+1.3+3.2+0.6+0.2+0.2+1.1+4.2+1.1+0.1</f>
        <v>12.100000000000001</v>
      </c>
      <c r="G40" s="43"/>
    </row>
    <row r="41" spans="1:7" x14ac:dyDescent="0.25">
      <c r="A41" t="s">
        <v>74</v>
      </c>
      <c r="F41" s="22">
        <f>12.89</f>
        <v>12.89</v>
      </c>
    </row>
    <row r="42" spans="1:7" x14ac:dyDescent="0.25">
      <c r="F42" s="27"/>
    </row>
    <row r="43" spans="1:7" x14ac:dyDescent="0.25">
      <c r="A43" s="20" t="s">
        <v>31</v>
      </c>
      <c r="B43" s="24"/>
      <c r="C43" s="18"/>
      <c r="D43" s="18"/>
      <c r="E43" s="25"/>
      <c r="F43" s="19"/>
    </row>
    <row r="44" spans="1:7" x14ac:dyDescent="0.25">
      <c r="A44" t="s">
        <v>32</v>
      </c>
      <c r="B44" s="24"/>
      <c r="C44" s="21">
        <v>3.7</v>
      </c>
      <c r="D44" s="21">
        <v>2.23</v>
      </c>
      <c r="E44" s="25">
        <f>2.2*1.35</f>
        <v>2.9700000000000006</v>
      </c>
      <c r="F44" s="22">
        <f>C44*D44-E44</f>
        <v>5.2809999999999988</v>
      </c>
    </row>
    <row r="45" spans="1:7" x14ac:dyDescent="0.25">
      <c r="A45" t="s">
        <v>25</v>
      </c>
      <c r="B45" s="24"/>
      <c r="C45" s="21">
        <v>4.8</v>
      </c>
      <c r="D45" s="21">
        <v>5.2</v>
      </c>
      <c r="E45" s="25">
        <f>1.55*1.2</f>
        <v>1.8599999999999999</v>
      </c>
      <c r="F45" s="22">
        <f>C45*D45-E45</f>
        <v>23.1</v>
      </c>
    </row>
    <row r="46" spans="1:7" x14ac:dyDescent="0.25">
      <c r="A46" t="s">
        <v>57</v>
      </c>
      <c r="B46" s="24"/>
      <c r="C46" s="21"/>
      <c r="D46" s="21"/>
      <c r="E46" s="25"/>
      <c r="F46" s="27">
        <f>0.1+0.1+0.1+0.2+0.1+0.1+1.6+0.5+1.7+3.8+4.2+0.7+0.7+0.3</f>
        <v>14.2</v>
      </c>
      <c r="G46" s="43"/>
    </row>
    <row r="47" spans="1:7" x14ac:dyDescent="0.25">
      <c r="A47" t="s">
        <v>74</v>
      </c>
      <c r="F47" s="22">
        <v>16.46</v>
      </c>
    </row>
    <row r="48" spans="1:7" x14ac:dyDescent="0.25">
      <c r="B48" s="24"/>
      <c r="C48" s="21"/>
      <c r="D48" s="21"/>
      <c r="E48" s="25"/>
      <c r="F48" s="22"/>
    </row>
    <row r="49" spans="1:7" x14ac:dyDescent="0.25">
      <c r="A49" s="20" t="s">
        <v>51</v>
      </c>
      <c r="B49" s="24"/>
      <c r="C49" s="18"/>
      <c r="D49" s="18"/>
      <c r="E49" s="25"/>
      <c r="F49" s="22"/>
    </row>
    <row r="50" spans="1:7" x14ac:dyDescent="0.25">
      <c r="A50" s="24" t="s">
        <v>32</v>
      </c>
      <c r="B50" s="24"/>
      <c r="C50" s="21">
        <v>2.1</v>
      </c>
      <c r="D50" s="21">
        <v>3.1</v>
      </c>
      <c r="E50" s="25">
        <f>2.2*1.35</f>
        <v>2.9700000000000006</v>
      </c>
      <c r="F50" s="22">
        <f>C50*D50-E50</f>
        <v>3.54</v>
      </c>
    </row>
    <row r="51" spans="1:7" x14ac:dyDescent="0.25">
      <c r="A51" t="s">
        <v>29</v>
      </c>
      <c r="B51" s="24"/>
      <c r="C51" s="21">
        <f>1.325*2</f>
        <v>2.65</v>
      </c>
      <c r="D51" s="21">
        <v>2.9</v>
      </c>
      <c r="E51" s="25">
        <f>0.9*2.1*2</f>
        <v>3.7800000000000002</v>
      </c>
      <c r="F51" s="22">
        <f>C51*D51-E51</f>
        <v>3.9049999999999994</v>
      </c>
    </row>
    <row r="52" spans="1:7" ht="15.75" customHeight="1" x14ac:dyDescent="0.25">
      <c r="A52" t="s">
        <v>25</v>
      </c>
      <c r="B52" s="24"/>
      <c r="C52" s="21">
        <f>2.45*2</f>
        <v>4.9000000000000004</v>
      </c>
      <c r="D52" s="21">
        <v>4.4000000000000004</v>
      </c>
      <c r="E52" s="25"/>
      <c r="F52" s="22">
        <f>C52*D52+4.7*0.5+4-E52</f>
        <v>27.910000000000004</v>
      </c>
    </row>
    <row r="53" spans="1:7" x14ac:dyDescent="0.25">
      <c r="A53" t="s">
        <v>54</v>
      </c>
      <c r="F53" s="27">
        <f>1.5+1.24+1.93+2.03+0.92+2.36+2.82+2.44*2</f>
        <v>17.68</v>
      </c>
    </row>
    <row r="54" spans="1:7" x14ac:dyDescent="0.25">
      <c r="A54" t="s">
        <v>57</v>
      </c>
      <c r="B54" s="24"/>
      <c r="C54" s="21"/>
      <c r="D54" s="21"/>
      <c r="E54" s="25"/>
      <c r="F54" s="27">
        <f>0.1+0.1+3.3+0.3+0.2+0.2+1.6+2+0.3+3+0.5+1.7+1.4+1.7</f>
        <v>16.400000000000002</v>
      </c>
      <c r="G54" s="43"/>
    </row>
    <row r="55" spans="1:7" x14ac:dyDescent="0.25">
      <c r="A55" t="s">
        <v>74</v>
      </c>
      <c r="F55" s="22">
        <f>18.59+2.19</f>
        <v>20.78</v>
      </c>
    </row>
    <row r="56" spans="1:7" x14ac:dyDescent="0.25">
      <c r="B56" s="24"/>
      <c r="C56" s="21"/>
      <c r="D56" s="21"/>
      <c r="E56" s="25"/>
      <c r="F56" s="22"/>
    </row>
    <row r="57" spans="1:7" x14ac:dyDescent="0.25">
      <c r="A57" s="20" t="s">
        <v>52</v>
      </c>
      <c r="B57" s="24"/>
      <c r="C57" s="18"/>
      <c r="D57" s="18"/>
      <c r="E57" s="25"/>
      <c r="F57" s="19"/>
    </row>
    <row r="58" spans="1:7" x14ac:dyDescent="0.25">
      <c r="A58" t="s">
        <v>29</v>
      </c>
      <c r="B58" s="24"/>
      <c r="C58" s="21">
        <v>3.68</v>
      </c>
      <c r="D58" s="21">
        <v>2.9</v>
      </c>
      <c r="E58" s="25">
        <f>0.9*2.1</f>
        <v>1.8900000000000001</v>
      </c>
      <c r="F58" s="22">
        <f>C58*D58-E58</f>
        <v>8.782</v>
      </c>
    </row>
    <row r="59" spans="1:7" x14ac:dyDescent="0.25">
      <c r="A59" t="s">
        <v>29</v>
      </c>
      <c r="B59" s="24"/>
      <c r="C59" s="21">
        <v>4.95</v>
      </c>
      <c r="D59" s="21">
        <v>3.5</v>
      </c>
      <c r="E59" s="25"/>
      <c r="F59" s="22">
        <f>C59*D59-E59</f>
        <v>17.324999999999999</v>
      </c>
    </row>
    <row r="60" spans="1:7" x14ac:dyDescent="0.25">
      <c r="A60" t="s">
        <v>29</v>
      </c>
      <c r="B60" s="24"/>
      <c r="C60" s="21">
        <v>10.58</v>
      </c>
      <c r="D60" s="21"/>
      <c r="E60" s="25">
        <f>3.48*1.32+3.2*3.03+2.2*0.92+1.72*1.24</f>
        <v>18.446400000000001</v>
      </c>
      <c r="F60" s="22">
        <f>(2*3.9+8.58*2.8)-E60</f>
        <v>13.377599999999997</v>
      </c>
    </row>
    <row r="61" spans="1:7" x14ac:dyDescent="0.25">
      <c r="A61" t="s">
        <v>29</v>
      </c>
      <c r="B61" s="24"/>
      <c r="C61" s="21">
        <v>10.17</v>
      </c>
      <c r="D61" s="21"/>
      <c r="E61" s="25">
        <f>1.97*0.91*2+2.42*1.24*2</f>
        <v>9.5869999999999997</v>
      </c>
      <c r="F61" s="22">
        <f>(6.4*2.6+(1.67+2.3)*1.4)-E61</f>
        <v>12.611000000000001</v>
      </c>
    </row>
    <row r="62" spans="1:7" x14ac:dyDescent="0.25">
      <c r="A62" t="s">
        <v>29</v>
      </c>
      <c r="B62" s="24"/>
      <c r="C62" s="21">
        <v>5.93</v>
      </c>
      <c r="D62" s="21">
        <v>2.4</v>
      </c>
      <c r="E62" s="25"/>
      <c r="F62" s="22">
        <f t="shared" ref="F62:F69" si="0">C62*D62-E62</f>
        <v>14.231999999999999</v>
      </c>
    </row>
    <row r="63" spans="1:7" x14ac:dyDescent="0.25">
      <c r="A63" t="s">
        <v>29</v>
      </c>
      <c r="B63" s="24"/>
      <c r="C63" s="21">
        <v>1.9</v>
      </c>
      <c r="D63" s="21">
        <v>3.55</v>
      </c>
      <c r="E63" s="25"/>
      <c r="F63" s="22">
        <f t="shared" si="0"/>
        <v>6.7449999999999992</v>
      </c>
    </row>
    <row r="64" spans="1:7" x14ac:dyDescent="0.25">
      <c r="A64" t="s">
        <v>29</v>
      </c>
      <c r="B64" s="24"/>
      <c r="C64" s="21">
        <v>1.4</v>
      </c>
      <c r="D64" s="21">
        <v>3.65</v>
      </c>
      <c r="E64" s="25"/>
      <c r="F64" s="22">
        <f t="shared" si="0"/>
        <v>5.1099999999999994</v>
      </c>
    </row>
    <row r="65" spans="1:12" x14ac:dyDescent="0.25">
      <c r="A65" t="s">
        <v>29</v>
      </c>
      <c r="B65" s="24"/>
      <c r="C65" s="21">
        <v>1</v>
      </c>
      <c r="D65" s="21">
        <v>4</v>
      </c>
      <c r="E65" s="25"/>
      <c r="F65" s="22">
        <f t="shared" si="0"/>
        <v>4</v>
      </c>
    </row>
    <row r="66" spans="1:12" x14ac:dyDescent="0.25">
      <c r="A66" t="s">
        <v>29</v>
      </c>
      <c r="B66" s="24"/>
      <c r="C66" s="21">
        <v>2.7</v>
      </c>
      <c r="D66" s="21">
        <v>4.25</v>
      </c>
      <c r="E66" s="25"/>
      <c r="F66" s="22">
        <f t="shared" si="0"/>
        <v>11.475000000000001</v>
      </c>
    </row>
    <row r="67" spans="1:12" x14ac:dyDescent="0.25">
      <c r="A67" t="s">
        <v>29</v>
      </c>
      <c r="B67" s="24"/>
      <c r="C67" s="21">
        <v>0.9</v>
      </c>
      <c r="D67" s="21">
        <v>3.7</v>
      </c>
      <c r="E67" s="25"/>
      <c r="F67" s="22">
        <f t="shared" si="0"/>
        <v>3.33</v>
      </c>
    </row>
    <row r="68" spans="1:12" ht="15.75" customHeight="1" x14ac:dyDescent="0.25">
      <c r="A68" t="s">
        <v>29</v>
      </c>
      <c r="B68" s="24"/>
      <c r="C68" s="21">
        <v>4</v>
      </c>
      <c r="D68" s="21">
        <v>3</v>
      </c>
      <c r="E68" s="25">
        <f>0.9*2.1</f>
        <v>1.8900000000000001</v>
      </c>
      <c r="F68" s="22">
        <f t="shared" si="0"/>
        <v>10.11</v>
      </c>
    </row>
    <row r="69" spans="1:12" ht="15.75" customHeight="1" x14ac:dyDescent="0.25">
      <c r="A69" t="s">
        <v>25</v>
      </c>
      <c r="B69" s="24"/>
      <c r="C69" s="21">
        <f>3.5*2</f>
        <v>7</v>
      </c>
      <c r="D69" s="21">
        <v>4.8</v>
      </c>
      <c r="E69" s="25">
        <f>3.5*2.7</f>
        <v>9.4500000000000011</v>
      </c>
      <c r="F69" s="22">
        <f t="shared" si="0"/>
        <v>24.15</v>
      </c>
    </row>
    <row r="70" spans="1:12" ht="15.75" customHeight="1" x14ac:dyDescent="0.25">
      <c r="A70" t="s">
        <v>54</v>
      </c>
      <c r="F70" s="27">
        <f>2.36+1+2.92+3.24+1.35+3.71+3.03+3.71+2.65+2.36+0.92+2.04+1.93+1.24+1.5+(1.81+0.92+2.13)*2+(2.2+1.24+2.63)*2</f>
        <v>55.82</v>
      </c>
    </row>
    <row r="71" spans="1:12" x14ac:dyDescent="0.25">
      <c r="A71" t="s">
        <v>57</v>
      </c>
      <c r="B71" s="24"/>
      <c r="C71" s="21"/>
      <c r="D71" s="21"/>
      <c r="E71" s="25"/>
      <c r="F71" s="27">
        <f>0.7+2+4.9+0.6+0.5+0.9+0.3+2+2.3+0.2+0.3+0.2+3+6+1.7+1.3+1+1.2+2+1.6+0.8+0.6+2.5</f>
        <v>36.6</v>
      </c>
      <c r="G71" s="43"/>
    </row>
    <row r="72" spans="1:12" x14ac:dyDescent="0.25">
      <c r="A72" t="s">
        <v>74</v>
      </c>
      <c r="F72" s="22">
        <v>89.8</v>
      </c>
    </row>
    <row r="73" spans="1:12" ht="15.75" customHeight="1" thickBot="1" x14ac:dyDescent="0.3"/>
    <row r="74" spans="1:12" ht="15.75" customHeight="1" thickBot="1" x14ac:dyDescent="0.3">
      <c r="A74" s="41" t="s">
        <v>23</v>
      </c>
      <c r="B74" s="42"/>
      <c r="C74" s="44"/>
    </row>
    <row r="75" spans="1:12" ht="15.75" customHeight="1" x14ac:dyDescent="0.25">
      <c r="A75" t="str" cm="1">
        <f t="array" ref="A75:B81">_xlfn.GROUPBY(A7:A72,F7:F72,_xleta.SUM,,0,,NOT(ISBLANK(F7:F72)))</f>
        <v>Boîte à rideau</v>
      </c>
      <c r="B75" s="28">
        <v>5.8</v>
      </c>
      <c r="F75" s="43"/>
    </row>
    <row r="76" spans="1:12" ht="15.75" customHeight="1" x14ac:dyDescent="0.25">
      <c r="A76" t="str">
        <v>Encadrement</v>
      </c>
      <c r="B76" s="28">
        <v>102.25999999999999</v>
      </c>
      <c r="F76" s="43"/>
    </row>
    <row r="77" spans="1:12" ht="15.75" customHeight="1" x14ac:dyDescent="0.25">
      <c r="A77" t="str">
        <v>Lit</v>
      </c>
      <c r="B77" s="43">
        <v>17.032999999999994</v>
      </c>
      <c r="F77" s="43"/>
      <c r="G77" s="4"/>
      <c r="H77" s="5"/>
      <c r="I77" s="4"/>
      <c r="J77" s="4"/>
      <c r="K77" s="5"/>
      <c r="L77" s="4"/>
    </row>
    <row r="78" spans="1:12" ht="15.75" customHeight="1" x14ac:dyDescent="0.25">
      <c r="A78" t="str">
        <v>Mur</v>
      </c>
      <c r="B78" s="43">
        <v>146.15260000000001</v>
      </c>
      <c r="F78" s="28"/>
    </row>
    <row r="79" spans="1:12" ht="15.75" customHeight="1" x14ac:dyDescent="0.25">
      <c r="A79" t="str">
        <v>Parquet</v>
      </c>
      <c r="B79" s="43">
        <v>189.07999999999998</v>
      </c>
      <c r="E79" s="15"/>
      <c r="F79" s="28"/>
    </row>
    <row r="80" spans="1:12" ht="15.75" customHeight="1" x14ac:dyDescent="0.25">
      <c r="A80" t="str">
        <v>Plafond</v>
      </c>
      <c r="B80" s="43">
        <v>95.038000000000011</v>
      </c>
    </row>
    <row r="81" spans="1:7" x14ac:dyDescent="0.25">
      <c r="A81" t="str">
        <v>Plinthes</v>
      </c>
      <c r="B81" s="28">
        <v>117.80000000000001</v>
      </c>
    </row>
    <row r="83" spans="1:7" x14ac:dyDescent="0.25">
      <c r="A83" s="2" t="s">
        <v>1</v>
      </c>
      <c r="B83" s="3"/>
      <c r="C83" s="2" t="s">
        <v>2</v>
      </c>
      <c r="D83" s="2" t="s">
        <v>3</v>
      </c>
      <c r="E83" s="2" t="s">
        <v>7</v>
      </c>
      <c r="F83" s="2"/>
    </row>
    <row r="85" spans="1:7" x14ac:dyDescent="0.25">
      <c r="A85" s="9" t="s">
        <v>4</v>
      </c>
      <c r="B85" s="10"/>
      <c r="C85" s="30">
        <f>(B77+F31)*2</f>
        <v>38.065999999999988</v>
      </c>
      <c r="D85" s="10" t="s">
        <v>8</v>
      </c>
      <c r="E85" s="34" t="s">
        <v>13</v>
      </c>
      <c r="F85" s="35"/>
      <c r="G85" s="1"/>
    </row>
    <row r="86" spans="1:7" x14ac:dyDescent="0.25">
      <c r="A86" s="14" t="s">
        <v>5</v>
      </c>
      <c r="B86" s="13"/>
      <c r="C86" s="31">
        <f>B77*2+B79*4+B75*4</f>
        <v>813.58600000000001</v>
      </c>
      <c r="D86" s="13" t="s">
        <v>8</v>
      </c>
      <c r="E86" s="37"/>
      <c r="F86" s="38"/>
      <c r="G86" s="1"/>
    </row>
    <row r="88" spans="1:7" x14ac:dyDescent="0.25">
      <c r="A88" s="7" t="s">
        <v>17</v>
      </c>
      <c r="B88" s="8"/>
      <c r="C88" s="29">
        <f>(SUM(B77:B79)+ROUNDUP(0.04*B75,1))*(1+E88)</f>
        <v>387.82216</v>
      </c>
      <c r="D88" s="8" t="s">
        <v>9</v>
      </c>
      <c r="E88" s="33">
        <v>0.1</v>
      </c>
      <c r="F88" s="32" t="s">
        <v>45</v>
      </c>
    </row>
    <row r="90" spans="1:7" x14ac:dyDescent="0.25">
      <c r="A90" s="9" t="s">
        <v>10</v>
      </c>
      <c r="B90" s="10"/>
      <c r="C90" s="10"/>
      <c r="D90" s="10"/>
      <c r="E90" s="34"/>
      <c r="F90" s="35"/>
    </row>
    <row r="91" spans="1:7" x14ac:dyDescent="0.25">
      <c r="A91" s="11" t="s">
        <v>11</v>
      </c>
      <c r="C91">
        <f>B75*1</f>
        <v>5.8</v>
      </c>
      <c r="D91" t="s">
        <v>8</v>
      </c>
      <c r="E91" s="15"/>
      <c r="F91" s="36"/>
    </row>
    <row r="92" spans="1:7" x14ac:dyDescent="0.25">
      <c r="A92" s="12" t="s">
        <v>12</v>
      </c>
      <c r="B92" s="13"/>
      <c r="C92" s="13">
        <f>B75*2</f>
        <v>11.6</v>
      </c>
      <c r="D92" s="13" t="s">
        <v>8</v>
      </c>
      <c r="E92" s="37"/>
      <c r="F92" s="38"/>
    </row>
    <row r="99" spans="1:3" x14ac:dyDescent="0.25">
      <c r="C99" s="26"/>
    </row>
    <row r="102" spans="1:3" x14ac:dyDescent="0.25">
      <c r="A102" s="1"/>
    </row>
    <row r="103" spans="1:3" x14ac:dyDescent="0.25">
      <c r="A103" s="1"/>
    </row>
    <row r="123" spans="1:6" ht="21" x14ac:dyDescent="0.35">
      <c r="A123" s="6"/>
      <c r="B123" s="6"/>
      <c r="C123" s="6"/>
      <c r="D123" s="6"/>
      <c r="E123" s="6"/>
      <c r="F123" s="6"/>
    </row>
    <row r="125" spans="1:6" x14ac:dyDescent="0.25">
      <c r="A125" s="4"/>
      <c r="B125" s="5"/>
      <c r="C125" s="4"/>
      <c r="D125" s="4"/>
      <c r="E125" s="5"/>
      <c r="F125" s="4"/>
    </row>
    <row r="133" spans="1:1" x14ac:dyDescent="0.25">
      <c r="A133" s="1"/>
    </row>
    <row r="134" spans="1:1" x14ac:dyDescent="0.25">
      <c r="A134" s="1"/>
    </row>
  </sheetData>
  <mergeCells count="1">
    <mergeCell ref="A2:F2"/>
  </mergeCells>
  <pageMargins left="0.7" right="0.7" top="0.75" bottom="0.75" header="0.3" footer="0.3"/>
  <pageSetup paperSize="9" orientation="portrait" horizontalDpi="0" verticalDpi="0" r:id="rId1"/>
  <headerFooter>
    <oddHeader>&amp;L
&amp;C&amp;"-,Gras"&amp;20METRE - LE KANGTO</oddHeader>
    <oddFooter>&amp;C&amp;P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6AEA22-E951-4C46-B2E6-16D434FC5C0C}">
  <dimension ref="A1:L138"/>
  <sheetViews>
    <sheetView view="pageLayout" topLeftCell="A62" zoomScaleNormal="100" workbookViewId="0">
      <selection activeCell="E26" sqref="E26"/>
    </sheetView>
  </sheetViews>
  <sheetFormatPr baseColWidth="10" defaultRowHeight="15" x14ac:dyDescent="0.25"/>
  <cols>
    <col min="1" max="1" width="31.28515625" customWidth="1"/>
    <col min="2" max="2" width="9.28515625" customWidth="1"/>
    <col min="4" max="4" width="7.7109375" bestFit="1" customWidth="1"/>
    <col min="5" max="5" width="8.5703125" customWidth="1"/>
    <col min="6" max="6" width="13.5703125" customWidth="1"/>
  </cols>
  <sheetData>
    <row r="1" spans="1:10" ht="15.75" thickBot="1" x14ac:dyDescent="0.3"/>
    <row r="2" spans="1:10" ht="21.75" thickBot="1" x14ac:dyDescent="0.4">
      <c r="A2" s="49" t="s">
        <v>16</v>
      </c>
      <c r="B2" s="50"/>
      <c r="C2" s="50"/>
      <c r="D2" s="50"/>
      <c r="E2" s="50"/>
      <c r="F2" s="51"/>
      <c r="G2" s="6"/>
      <c r="H2" s="6"/>
      <c r="I2" s="6"/>
      <c r="J2" s="6"/>
    </row>
    <row r="3" spans="1:10" ht="15.75" customHeight="1" x14ac:dyDescent="0.25"/>
    <row r="4" spans="1:10" x14ac:dyDescent="0.25">
      <c r="A4" s="16" t="s">
        <v>18</v>
      </c>
      <c r="B4" s="17" t="s">
        <v>30</v>
      </c>
      <c r="C4" s="16" t="s">
        <v>19</v>
      </c>
      <c r="D4" s="16" t="s">
        <v>20</v>
      </c>
      <c r="E4" s="16" t="s">
        <v>22</v>
      </c>
      <c r="F4" s="16" t="s">
        <v>23</v>
      </c>
    </row>
    <row r="5" spans="1:10" x14ac:dyDescent="0.25">
      <c r="D5" s="15"/>
      <c r="E5" s="23"/>
    </row>
    <row r="6" spans="1:10" x14ac:dyDescent="0.25">
      <c r="A6" s="20" t="s">
        <v>21</v>
      </c>
      <c r="C6" s="18"/>
      <c r="D6" s="18"/>
      <c r="E6" s="22"/>
    </row>
    <row r="7" spans="1:10" x14ac:dyDescent="0.25">
      <c r="A7" t="s">
        <v>32</v>
      </c>
      <c r="B7" s="24"/>
      <c r="C7" s="21">
        <v>3.3</v>
      </c>
      <c r="D7" s="21">
        <v>2.3199999999999998</v>
      </c>
      <c r="E7" s="25"/>
      <c r="F7" s="22">
        <f>C7*D7-E7</f>
        <v>7.6559999999999988</v>
      </c>
    </row>
    <row r="8" spans="1:10" x14ac:dyDescent="0.25">
      <c r="A8" t="s">
        <v>25</v>
      </c>
      <c r="B8" s="24"/>
      <c r="C8" s="21">
        <v>3.9</v>
      </c>
      <c r="D8" s="21">
        <v>3.24</v>
      </c>
      <c r="E8" s="25">
        <f>2.28*2.32</f>
        <v>5.2895999999999992</v>
      </c>
      <c r="F8" s="22">
        <f>C8*D8-E8</f>
        <v>7.3464000000000018</v>
      </c>
    </row>
    <row r="9" spans="1:10" x14ac:dyDescent="0.25">
      <c r="A9" t="s">
        <v>33</v>
      </c>
      <c r="B9" s="24"/>
      <c r="C9" s="21"/>
      <c r="D9" s="21"/>
      <c r="E9" s="25"/>
      <c r="F9" s="27">
        <f>1.1+0.1+0.3</f>
        <v>1.5000000000000002</v>
      </c>
    </row>
    <row r="10" spans="1:10" x14ac:dyDescent="0.25">
      <c r="A10" t="s">
        <v>54</v>
      </c>
      <c r="B10" s="24"/>
      <c r="C10" s="21"/>
      <c r="D10" s="21"/>
      <c r="E10" s="25"/>
      <c r="F10" s="27">
        <f>2.18+1.24*2</f>
        <v>4.66</v>
      </c>
    </row>
    <row r="11" spans="1:10" ht="17.25" customHeight="1" x14ac:dyDescent="0.25">
      <c r="A11" t="s">
        <v>57</v>
      </c>
      <c r="B11" s="24"/>
      <c r="C11" s="21"/>
      <c r="D11" s="21"/>
      <c r="E11" s="25"/>
      <c r="F11" s="27">
        <f>2.4+0.6+0.4+1.8+3.8+0.3+0.6+0.9+0.8+0.1</f>
        <v>11.700000000000001</v>
      </c>
    </row>
    <row r="12" spans="1:10" x14ac:dyDescent="0.25">
      <c r="A12" t="s">
        <v>74</v>
      </c>
      <c r="F12" s="22">
        <f>12.58</f>
        <v>12.58</v>
      </c>
    </row>
    <row r="14" spans="1:10" x14ac:dyDescent="0.25">
      <c r="A14" s="20" t="s">
        <v>24</v>
      </c>
      <c r="B14" s="24"/>
      <c r="C14" s="18"/>
      <c r="D14" s="18"/>
      <c r="E14" s="25"/>
      <c r="F14" s="19"/>
    </row>
    <row r="15" spans="1:10" x14ac:dyDescent="0.25">
      <c r="A15" t="s">
        <v>29</v>
      </c>
      <c r="B15" s="24"/>
      <c r="C15" s="21">
        <v>1</v>
      </c>
      <c r="D15" s="21">
        <v>2.4</v>
      </c>
      <c r="E15" s="25">
        <f>0.9*2.1</f>
        <v>1.8900000000000001</v>
      </c>
      <c r="F15" s="22">
        <f>C15*D15-E15</f>
        <v>0.50999999999999979</v>
      </c>
    </row>
    <row r="16" spans="1:10" x14ac:dyDescent="0.25">
      <c r="A16" t="s">
        <v>29</v>
      </c>
      <c r="B16" s="24"/>
      <c r="C16" s="21">
        <v>11</v>
      </c>
      <c r="D16" s="21">
        <v>2.4</v>
      </c>
      <c r="E16" s="25">
        <f>0.9*2.1*4</f>
        <v>7.5600000000000005</v>
      </c>
      <c r="F16" s="22">
        <f>C16*D16-E16</f>
        <v>18.839999999999996</v>
      </c>
    </row>
    <row r="17" spans="1:7" x14ac:dyDescent="0.25">
      <c r="A17" t="s">
        <v>29</v>
      </c>
      <c r="B17" s="24"/>
      <c r="C17" s="21">
        <v>1</v>
      </c>
      <c r="D17" s="21">
        <v>2.4</v>
      </c>
      <c r="E17" s="25">
        <f>0.9*2.1</f>
        <v>1.8900000000000001</v>
      </c>
      <c r="F17" s="22">
        <f>C17*D17-E17</f>
        <v>0.50999999999999979</v>
      </c>
    </row>
    <row r="18" spans="1:7" x14ac:dyDescent="0.25">
      <c r="A18" t="s">
        <v>25</v>
      </c>
      <c r="B18" s="24"/>
      <c r="C18" s="21">
        <v>11</v>
      </c>
      <c r="D18" s="21">
        <v>1</v>
      </c>
      <c r="E18" s="25"/>
      <c r="F18" s="22">
        <f>C18*D18-E18</f>
        <v>11</v>
      </c>
    </row>
    <row r="19" spans="1:7" x14ac:dyDescent="0.25">
      <c r="A19" t="s">
        <v>25</v>
      </c>
      <c r="B19" s="24"/>
      <c r="C19" s="21">
        <f>0.7+2.7</f>
        <v>3.4000000000000004</v>
      </c>
      <c r="D19" s="21">
        <v>1.95</v>
      </c>
      <c r="E19" s="25">
        <f>2*2.7</f>
        <v>5.4</v>
      </c>
      <c r="F19" s="22">
        <f>C19*D19-E19</f>
        <v>1.2300000000000004</v>
      </c>
    </row>
    <row r="20" spans="1:7" x14ac:dyDescent="0.25">
      <c r="A20" t="s">
        <v>54</v>
      </c>
      <c r="B20" s="24"/>
      <c r="C20" s="21"/>
      <c r="D20" s="21"/>
      <c r="E20" s="25"/>
      <c r="F20" s="27">
        <f>2.14*2+1.24</f>
        <v>5.5200000000000005</v>
      </c>
    </row>
    <row r="21" spans="1:7" x14ac:dyDescent="0.25">
      <c r="A21" t="s">
        <v>57</v>
      </c>
      <c r="B21" s="24"/>
      <c r="C21" s="21"/>
      <c r="D21" s="21"/>
      <c r="E21" s="25"/>
      <c r="F21" s="27">
        <f>0.1+0.1+0.1+0.2+3.2+0.2+0.6+0.1+1.2+0.2+1.4+0.6+0.1+0.2+0.1+0.2+0.2+1.3+1.1</f>
        <v>11.199999999999998</v>
      </c>
      <c r="G21" s="43"/>
    </row>
    <row r="22" spans="1:7" x14ac:dyDescent="0.25">
      <c r="A22" t="s">
        <v>74</v>
      </c>
      <c r="F22" s="22">
        <v>22.49</v>
      </c>
    </row>
    <row r="23" spans="1:7" x14ac:dyDescent="0.25">
      <c r="B23" s="24"/>
      <c r="C23" s="21"/>
      <c r="D23" s="21"/>
      <c r="E23" s="25"/>
      <c r="F23" s="22"/>
    </row>
    <row r="24" spans="1:7" x14ac:dyDescent="0.25">
      <c r="A24" s="20" t="s">
        <v>26</v>
      </c>
      <c r="B24" s="24"/>
      <c r="C24" s="18"/>
      <c r="D24" s="18"/>
      <c r="E24" s="25"/>
      <c r="F24" s="19"/>
    </row>
    <row r="25" spans="1:7" x14ac:dyDescent="0.25">
      <c r="A25" t="s">
        <v>32</v>
      </c>
      <c r="B25" s="24"/>
      <c r="C25" s="21">
        <v>3.5</v>
      </c>
      <c r="D25" s="21">
        <v>1.05</v>
      </c>
      <c r="E25" s="25">
        <f>1.2*2</f>
        <v>2.4</v>
      </c>
      <c r="F25" s="22">
        <f>C25*D25-E25</f>
        <v>1.2750000000000004</v>
      </c>
    </row>
    <row r="26" spans="1:7" x14ac:dyDescent="0.25">
      <c r="A26" t="s">
        <v>25</v>
      </c>
      <c r="B26" s="24"/>
      <c r="C26" s="21">
        <v>3.37</v>
      </c>
      <c r="D26" s="21">
        <v>1.7729999999999999</v>
      </c>
      <c r="E26" s="25"/>
      <c r="F26" s="22">
        <f>C26*D26-E26</f>
        <v>5.9750100000000002</v>
      </c>
    </row>
    <row r="27" spans="1:7" x14ac:dyDescent="0.25">
      <c r="A27" t="s">
        <v>54</v>
      </c>
      <c r="B27" s="24"/>
      <c r="C27" s="21"/>
      <c r="D27" s="21"/>
      <c r="E27" s="25"/>
      <c r="F27" s="27">
        <f>2.44+2.18*2+1.24+2.18*2</f>
        <v>12.400000000000002</v>
      </c>
    </row>
    <row r="28" spans="1:7" x14ac:dyDescent="0.25">
      <c r="A28" t="s">
        <v>57</v>
      </c>
      <c r="B28" s="24"/>
      <c r="C28" s="21"/>
      <c r="D28" s="21"/>
      <c r="E28" s="25"/>
      <c r="F28" s="27">
        <f>0.6+1.5+1.1+0.6+0.6+0.6+0.1+1.6+0.6+0.1</f>
        <v>7.3999999999999986</v>
      </c>
      <c r="G28" s="43"/>
    </row>
    <row r="29" spans="1:7" x14ac:dyDescent="0.25">
      <c r="A29" t="s">
        <v>74</v>
      </c>
      <c r="F29" s="22">
        <v>16.239999999999998</v>
      </c>
    </row>
    <row r="30" spans="1:7" x14ac:dyDescent="0.25">
      <c r="F30" s="22"/>
    </row>
    <row r="31" spans="1:7" x14ac:dyDescent="0.25">
      <c r="A31" s="20" t="s">
        <v>27</v>
      </c>
      <c r="B31" s="24"/>
      <c r="C31" s="18"/>
      <c r="D31" s="18"/>
      <c r="E31" s="25"/>
      <c r="F31" s="19"/>
    </row>
    <row r="32" spans="1:7" x14ac:dyDescent="0.25">
      <c r="A32" t="s">
        <v>32</v>
      </c>
      <c r="B32" s="24"/>
      <c r="C32" s="21">
        <v>3.5</v>
      </c>
      <c r="D32" s="21">
        <v>2.3199999999999998</v>
      </c>
      <c r="E32" s="25"/>
      <c r="F32" s="22">
        <f>C32*D32-E32</f>
        <v>8.1199999999999992</v>
      </c>
    </row>
    <row r="33" spans="1:7" x14ac:dyDescent="0.25">
      <c r="A33" t="s">
        <v>25</v>
      </c>
      <c r="B33" s="24"/>
      <c r="C33" s="21">
        <v>3.18</v>
      </c>
      <c r="D33" s="21">
        <v>3.95</v>
      </c>
      <c r="E33" s="25">
        <f>2.22*1.87</f>
        <v>4.1514000000000006</v>
      </c>
      <c r="F33" s="22">
        <f>C33*D33-E33</f>
        <v>8.4096000000000011</v>
      </c>
    </row>
    <row r="34" spans="1:7" x14ac:dyDescent="0.25">
      <c r="A34" t="s">
        <v>25</v>
      </c>
      <c r="B34" s="24"/>
      <c r="C34" s="21">
        <v>1.1000000000000001</v>
      </c>
      <c r="D34" s="21">
        <v>1.8</v>
      </c>
      <c r="E34" s="25"/>
      <c r="F34" s="22">
        <f>C34*D34-E34</f>
        <v>1.9800000000000002</v>
      </c>
    </row>
    <row r="35" spans="1:7" x14ac:dyDescent="0.25">
      <c r="A35" t="s">
        <v>33</v>
      </c>
      <c r="B35" s="24"/>
      <c r="C35" s="21"/>
      <c r="D35" s="21"/>
      <c r="E35" s="25"/>
      <c r="F35" s="27">
        <f>2.3+0.1+0.3</f>
        <v>2.6999999999999997</v>
      </c>
    </row>
    <row r="36" spans="1:7" x14ac:dyDescent="0.25">
      <c r="A36" t="s">
        <v>54</v>
      </c>
      <c r="B36" s="24"/>
      <c r="C36" s="21"/>
      <c r="D36" s="21"/>
      <c r="E36" s="25"/>
      <c r="F36" s="27">
        <f>2.14*2+2.44</f>
        <v>6.7200000000000006</v>
      </c>
    </row>
    <row r="37" spans="1:7" x14ac:dyDescent="0.25">
      <c r="A37" t="s">
        <v>57</v>
      </c>
      <c r="B37" s="24"/>
      <c r="C37" s="21"/>
      <c r="D37" s="21"/>
      <c r="E37" s="25"/>
      <c r="F37" s="27">
        <f>0.1+3.1+0.6+0.1+0.2+0.2+0.9+3.1+2.8+0.2+0.7+0.1</f>
        <v>12.1</v>
      </c>
      <c r="G37" s="43"/>
    </row>
    <row r="38" spans="1:7" x14ac:dyDescent="0.25">
      <c r="A38" t="s">
        <v>74</v>
      </c>
      <c r="F38" s="22">
        <v>14.39</v>
      </c>
    </row>
    <row r="39" spans="1:7" x14ac:dyDescent="0.25">
      <c r="F39" s="22"/>
    </row>
    <row r="40" spans="1:7" x14ac:dyDescent="0.25">
      <c r="A40" s="20" t="s">
        <v>31</v>
      </c>
      <c r="B40" s="24"/>
      <c r="C40" s="18"/>
      <c r="D40" s="18"/>
      <c r="E40" s="25"/>
      <c r="F40" s="22"/>
    </row>
    <row r="41" spans="1:7" x14ac:dyDescent="0.25">
      <c r="A41" t="s">
        <v>29</v>
      </c>
      <c r="B41" s="24"/>
      <c r="C41" s="21">
        <v>4.0999999999999996</v>
      </c>
      <c r="D41" s="21">
        <v>2.4</v>
      </c>
      <c r="E41" s="25">
        <f>1.5*1.2</f>
        <v>1.7999999999999998</v>
      </c>
      <c r="F41" s="22">
        <f>C41*D41-E41</f>
        <v>8.0399999999999991</v>
      </c>
    </row>
    <row r="42" spans="1:7" x14ac:dyDescent="0.25">
      <c r="A42" t="s">
        <v>54</v>
      </c>
      <c r="B42" s="24"/>
      <c r="C42" s="21"/>
      <c r="D42" s="21"/>
      <c r="E42" s="25"/>
      <c r="F42" s="27">
        <f>1.64+2.14*2</f>
        <v>5.92</v>
      </c>
    </row>
    <row r="43" spans="1:7" x14ac:dyDescent="0.25">
      <c r="A43" t="s">
        <v>57</v>
      </c>
      <c r="B43" s="24"/>
      <c r="C43" s="21"/>
      <c r="D43" s="21"/>
      <c r="E43" s="25"/>
      <c r="F43" s="27">
        <f>0.1+0.9+0.2+3+3.1+1+0.2+0.2+1+0.6+3+0.1</f>
        <v>13.399999999999999</v>
      </c>
      <c r="G43" s="43"/>
    </row>
    <row r="44" spans="1:7" x14ac:dyDescent="0.25">
      <c r="A44" t="s">
        <v>74</v>
      </c>
      <c r="F44" s="22">
        <v>15.28</v>
      </c>
    </row>
    <row r="45" spans="1:7" x14ac:dyDescent="0.25">
      <c r="F45" s="22"/>
    </row>
    <row r="46" spans="1:7" x14ac:dyDescent="0.25">
      <c r="A46" s="20" t="s">
        <v>28</v>
      </c>
      <c r="B46" s="24"/>
      <c r="C46" s="18"/>
      <c r="D46" s="18"/>
      <c r="E46" s="25"/>
      <c r="F46" s="19"/>
    </row>
    <row r="47" spans="1:7" x14ac:dyDescent="0.25">
      <c r="A47" t="s">
        <v>32</v>
      </c>
      <c r="B47" s="24"/>
      <c r="C47" s="21">
        <v>3</v>
      </c>
      <c r="D47" s="21">
        <v>2.3199999999999998</v>
      </c>
      <c r="E47" s="25"/>
      <c r="F47" s="22">
        <f>C47*D47-E47</f>
        <v>6.9599999999999991</v>
      </c>
    </row>
    <row r="48" spans="1:7" x14ac:dyDescent="0.25">
      <c r="A48" t="s">
        <v>25</v>
      </c>
      <c r="B48" s="24"/>
      <c r="C48" s="21">
        <v>3.07</v>
      </c>
      <c r="D48" s="21">
        <v>3.33</v>
      </c>
      <c r="E48" s="25">
        <f>1.9*2</f>
        <v>3.8</v>
      </c>
      <c r="F48" s="22">
        <f>C48*D48-E48</f>
        <v>6.4231000000000007</v>
      </c>
    </row>
    <row r="49" spans="1:7" x14ac:dyDescent="0.25">
      <c r="A49" t="s">
        <v>25</v>
      </c>
      <c r="B49" s="24"/>
      <c r="C49" s="21">
        <v>1.1000000000000001</v>
      </c>
      <c r="D49" s="21">
        <v>1.8</v>
      </c>
      <c r="E49" s="25"/>
      <c r="F49" s="22">
        <f>C49*D49-E49</f>
        <v>1.9800000000000002</v>
      </c>
    </row>
    <row r="50" spans="1:7" x14ac:dyDescent="0.25">
      <c r="A50" t="s">
        <v>33</v>
      </c>
      <c r="B50" s="24"/>
      <c r="C50" s="21"/>
      <c r="D50" s="21"/>
      <c r="E50" s="25"/>
      <c r="F50" s="27">
        <f>1.1+0.1+0.3</f>
        <v>1.5000000000000002</v>
      </c>
    </row>
    <row r="51" spans="1:7" x14ac:dyDescent="0.25">
      <c r="A51" t="s">
        <v>54</v>
      </c>
      <c r="B51" s="24"/>
      <c r="C51" s="21"/>
      <c r="D51" s="21"/>
      <c r="E51" s="25"/>
      <c r="F51" s="27">
        <f>2.44+2.14*2+1.24+2.14*2</f>
        <v>12.240000000000002</v>
      </c>
    </row>
    <row r="52" spans="1:7" x14ac:dyDescent="0.25">
      <c r="A52" t="s">
        <v>57</v>
      </c>
      <c r="B52" s="24"/>
      <c r="C52" s="21"/>
      <c r="D52" s="21"/>
      <c r="E52" s="25"/>
      <c r="F52" s="27">
        <f>0.1+5+0.6+0.2+0.2+0.2+0.7+1+0.2+0.2+0.5+2.9+0.1+0.7+0.2</f>
        <v>12.799999999999997</v>
      </c>
      <c r="G52" s="43"/>
    </row>
    <row r="53" spans="1:7" x14ac:dyDescent="0.25">
      <c r="A53" t="s">
        <v>74</v>
      </c>
      <c r="F53" s="22">
        <v>15.19</v>
      </c>
    </row>
    <row r="54" spans="1:7" x14ac:dyDescent="0.25">
      <c r="F54" s="22"/>
    </row>
    <row r="55" spans="1:7" x14ac:dyDescent="0.25">
      <c r="A55" s="20" t="s">
        <v>35</v>
      </c>
      <c r="B55" s="24"/>
      <c r="C55" s="21"/>
      <c r="D55" s="21"/>
      <c r="E55" s="25"/>
      <c r="F55" s="22"/>
    </row>
    <row r="56" spans="1:7" x14ac:dyDescent="0.25">
      <c r="A56" t="s">
        <v>29</v>
      </c>
      <c r="B56" s="24"/>
      <c r="C56" s="21">
        <v>6.8</v>
      </c>
      <c r="D56" s="21">
        <v>3.05</v>
      </c>
      <c r="E56" s="25">
        <f>0.93*1.925*2+1.17*2.36*2</f>
        <v>9.1029</v>
      </c>
      <c r="F56" s="22">
        <f t="shared" ref="F56:F65" si="0">C56*D56-E56</f>
        <v>11.637099999999998</v>
      </c>
    </row>
    <row r="57" spans="1:7" ht="15.75" customHeight="1" x14ac:dyDescent="0.25">
      <c r="A57" t="s">
        <v>29</v>
      </c>
      <c r="B57" s="24"/>
      <c r="C57" s="21">
        <v>4.2</v>
      </c>
      <c r="D57" s="21">
        <v>3.2</v>
      </c>
      <c r="E57" s="25">
        <f>2.7*1.46</f>
        <v>3.9420000000000002</v>
      </c>
      <c r="F57" s="22">
        <f t="shared" si="0"/>
        <v>9.4980000000000011</v>
      </c>
    </row>
    <row r="58" spans="1:7" x14ac:dyDescent="0.25">
      <c r="A58" t="s">
        <v>43</v>
      </c>
      <c r="B58" t="s">
        <v>37</v>
      </c>
      <c r="C58" s="21">
        <f>0.173*3</f>
        <v>0.51899999999999991</v>
      </c>
      <c r="D58" s="21">
        <v>4.0999999999999996</v>
      </c>
      <c r="E58" s="25"/>
      <c r="F58" s="22">
        <f t="shared" si="0"/>
        <v>2.1278999999999995</v>
      </c>
    </row>
    <row r="59" spans="1:7" x14ac:dyDescent="0.25">
      <c r="A59" t="s">
        <v>43</v>
      </c>
      <c r="B59" t="s">
        <v>36</v>
      </c>
      <c r="C59" s="21">
        <f>0.213+0.293*2</f>
        <v>0.79899999999999993</v>
      </c>
      <c r="D59" s="21">
        <f>3.5+5+3.5</f>
        <v>12</v>
      </c>
      <c r="F59" s="22">
        <f t="shared" si="0"/>
        <v>9.5879999999999992</v>
      </c>
    </row>
    <row r="60" spans="1:7" x14ac:dyDescent="0.25">
      <c r="A60" t="s">
        <v>43</v>
      </c>
      <c r="B60" t="s">
        <v>44</v>
      </c>
      <c r="C60" s="21">
        <f>0.153+0.333*2</f>
        <v>0.81900000000000006</v>
      </c>
      <c r="D60" s="21">
        <f>4.5+4.3+2.1+2.1</f>
        <v>13</v>
      </c>
      <c r="F60" s="22">
        <f t="shared" si="0"/>
        <v>10.647</v>
      </c>
    </row>
    <row r="61" spans="1:7" x14ac:dyDescent="0.25">
      <c r="A61" t="s">
        <v>43</v>
      </c>
      <c r="B61" t="s">
        <v>38</v>
      </c>
      <c r="C61" s="15">
        <f>0.413*3</f>
        <v>1.2389999999999999</v>
      </c>
      <c r="D61" s="21">
        <f>9.5*2</f>
        <v>19</v>
      </c>
      <c r="F61" s="22">
        <f t="shared" si="0"/>
        <v>23.540999999999997</v>
      </c>
    </row>
    <row r="62" spans="1:7" x14ac:dyDescent="0.25">
      <c r="A62" t="s">
        <v>43</v>
      </c>
      <c r="B62" t="s">
        <v>39</v>
      </c>
      <c r="C62" s="15">
        <f>0.333*3</f>
        <v>0.99900000000000011</v>
      </c>
      <c r="D62" s="21">
        <v>9.5</v>
      </c>
      <c r="F62" s="22">
        <f t="shared" si="0"/>
        <v>9.4905000000000008</v>
      </c>
    </row>
    <row r="63" spans="1:7" x14ac:dyDescent="0.25">
      <c r="A63" t="s">
        <v>43</v>
      </c>
      <c r="B63" t="s">
        <v>40</v>
      </c>
      <c r="C63" s="15">
        <f>0.233*3</f>
        <v>0.69900000000000007</v>
      </c>
      <c r="D63" s="21">
        <v>6.1</v>
      </c>
      <c r="F63" s="22">
        <f t="shared" si="0"/>
        <v>4.2639000000000005</v>
      </c>
    </row>
    <row r="64" spans="1:7" x14ac:dyDescent="0.25">
      <c r="A64" t="s">
        <v>43</v>
      </c>
      <c r="B64" t="s">
        <v>41</v>
      </c>
      <c r="C64" s="15">
        <f>0.273*3</f>
        <v>0.81900000000000006</v>
      </c>
      <c r="D64" s="21">
        <v>6.1</v>
      </c>
      <c r="F64" s="22">
        <f t="shared" si="0"/>
        <v>4.9958999999999998</v>
      </c>
    </row>
    <row r="65" spans="1:7" x14ac:dyDescent="0.25">
      <c r="A65" t="s">
        <v>43</v>
      </c>
      <c r="B65" t="s">
        <v>42</v>
      </c>
      <c r="C65" s="15">
        <f>0.213+0.333*2</f>
        <v>0.879</v>
      </c>
      <c r="D65" s="21">
        <v>7</v>
      </c>
      <c r="F65" s="22">
        <f t="shared" si="0"/>
        <v>6.1530000000000005</v>
      </c>
    </row>
    <row r="66" spans="1:7" x14ac:dyDescent="0.25">
      <c r="A66" t="s">
        <v>54</v>
      </c>
      <c r="B66" t="s">
        <v>55</v>
      </c>
      <c r="C66" s="44"/>
      <c r="F66" s="27">
        <f>(2.76+1.46)*2+(0.93+1.76+2.09)*2+(1.17+2.16+2.57)*2</f>
        <v>29.8</v>
      </c>
    </row>
    <row r="67" spans="1:7" x14ac:dyDescent="0.25">
      <c r="A67" t="s">
        <v>57</v>
      </c>
      <c r="B67" s="24"/>
      <c r="C67" s="21"/>
      <c r="D67" s="21"/>
      <c r="E67" s="25"/>
      <c r="F67" s="27">
        <f>0.5+2.8+0.5+0.2+0.2+0.4+0.2+0.2+1.4+2.4+0.2+0.2+0.3+0.2+0.2+0.3+0.2+0.2+0.3+0.2+0.2+4.3+1.1+0.2+0.2+0.5+2.8+0.3+0.6+0.1</f>
        <v>21.400000000000002</v>
      </c>
      <c r="G67" s="43"/>
    </row>
    <row r="68" spans="1:7" x14ac:dyDescent="0.25">
      <c r="A68" t="s">
        <v>74</v>
      </c>
      <c r="F68" s="22">
        <v>87.81</v>
      </c>
    </row>
    <row r="69" spans="1:7" x14ac:dyDescent="0.25">
      <c r="F69" s="22"/>
    </row>
    <row r="70" spans="1:7" x14ac:dyDescent="0.25">
      <c r="A70" s="20" t="s">
        <v>58</v>
      </c>
      <c r="B70" s="24"/>
      <c r="C70" s="18"/>
      <c r="D70" s="18"/>
      <c r="E70" s="25"/>
      <c r="F70" s="19"/>
    </row>
    <row r="71" spans="1:7" x14ac:dyDescent="0.25">
      <c r="A71" t="s">
        <v>57</v>
      </c>
      <c r="B71" s="24"/>
      <c r="C71" s="21"/>
      <c r="D71" s="21"/>
      <c r="E71" s="25"/>
      <c r="F71" s="27">
        <f>0.2+2.8+3.5+1.6+2.2+0.1+2.2+2.1+3.5+0.2</f>
        <v>18.400000000000002</v>
      </c>
      <c r="G71" s="43"/>
    </row>
    <row r="72" spans="1:7" x14ac:dyDescent="0.25">
      <c r="A72" t="s">
        <v>74</v>
      </c>
      <c r="F72" s="22">
        <v>13.92</v>
      </c>
    </row>
    <row r="73" spans="1:7" x14ac:dyDescent="0.25">
      <c r="F73" s="22"/>
    </row>
    <row r="74" spans="1:7" x14ac:dyDescent="0.25">
      <c r="A74" s="20" t="s">
        <v>59</v>
      </c>
      <c r="B74" s="24"/>
      <c r="C74" s="18"/>
      <c r="D74" s="18"/>
      <c r="E74" s="25"/>
      <c r="F74" s="19"/>
    </row>
    <row r="75" spans="1:7" x14ac:dyDescent="0.25">
      <c r="A75" t="s">
        <v>57</v>
      </c>
      <c r="B75" s="24"/>
      <c r="C75" s="21"/>
      <c r="D75" s="21"/>
      <c r="E75" s="25"/>
      <c r="F75" s="27">
        <f>0.4+2.7+6.1+2.5+2.1+0.3+2.9</f>
        <v>17</v>
      </c>
      <c r="G75" s="43"/>
    </row>
    <row r="76" spans="1:7" x14ac:dyDescent="0.25">
      <c r="A76" t="s">
        <v>74</v>
      </c>
      <c r="F76" s="22">
        <v>16.28</v>
      </c>
    </row>
    <row r="78" spans="1:7" ht="15.75" customHeight="1" x14ac:dyDescent="0.25"/>
    <row r="79" spans="1:7" ht="15.75" customHeight="1" thickBot="1" x14ac:dyDescent="0.3"/>
    <row r="80" spans="1:7" ht="15.75" customHeight="1" thickBot="1" x14ac:dyDescent="0.3">
      <c r="A80" s="41" t="s">
        <v>23</v>
      </c>
      <c r="B80" s="42"/>
    </row>
    <row r="81" spans="1:12" ht="15.75" customHeight="1" x14ac:dyDescent="0.25">
      <c r="A81" t="str" cm="1">
        <f t="array" ref="A81:B88">_xlfn.GROUPBY(A7:A76,F7:F76,_xleta.SUM,,0,,NOT(ISBLANK(F7:F76)))</f>
        <v>Corniche</v>
      </c>
      <c r="B81" s="28">
        <v>5.7</v>
      </c>
      <c r="F81" s="43"/>
      <c r="G81" s="4"/>
      <c r="H81" s="5"/>
      <c r="I81" s="4"/>
      <c r="J81" s="4"/>
      <c r="K81" s="5"/>
      <c r="L81" s="4"/>
    </row>
    <row r="82" spans="1:12" ht="15.75" customHeight="1" x14ac:dyDescent="0.25">
      <c r="A82" t="str">
        <v>Encadrement</v>
      </c>
      <c r="B82" s="28">
        <v>77.260000000000005</v>
      </c>
      <c r="F82" s="43"/>
    </row>
    <row r="83" spans="1:12" x14ac:dyDescent="0.25">
      <c r="A83" t="str">
        <v>Lit</v>
      </c>
      <c r="B83" s="43">
        <v>24.010999999999996</v>
      </c>
      <c r="F83" s="43"/>
    </row>
    <row r="84" spans="1:12" x14ac:dyDescent="0.25">
      <c r="A84" t="str">
        <v>Mur</v>
      </c>
      <c r="B84" s="43">
        <v>49.035099999999986</v>
      </c>
      <c r="F84" s="28"/>
    </row>
    <row r="85" spans="1:12" s="24" customFormat="1" ht="15" customHeight="1" x14ac:dyDescent="0.25">
      <c r="A85" t="str">
        <v>Parquet</v>
      </c>
      <c r="B85" s="43">
        <v>214.18</v>
      </c>
      <c r="C85"/>
      <c r="D85"/>
      <c r="E85"/>
      <c r="F85" s="43"/>
    </row>
    <row r="86" spans="1:12" x14ac:dyDescent="0.25">
      <c r="A86" s="45" t="str">
        <v>Plafond</v>
      </c>
      <c r="B86" s="46">
        <v>44.344109999999993</v>
      </c>
    </row>
    <row r="87" spans="1:12" x14ac:dyDescent="0.25">
      <c r="A87" s="24" t="str">
        <v>Plinthes</v>
      </c>
      <c r="B87" s="48">
        <v>125.4</v>
      </c>
      <c r="C87" s="24"/>
      <c r="D87" s="24"/>
      <c r="E87" s="24"/>
      <c r="F87" s="24"/>
    </row>
    <row r="88" spans="1:12" x14ac:dyDescent="0.25">
      <c r="A88" t="str">
        <v>Poutre</v>
      </c>
      <c r="B88" s="43">
        <v>70.807199999999995</v>
      </c>
    </row>
    <row r="89" spans="1:12" x14ac:dyDescent="0.25">
      <c r="G89" s="1"/>
    </row>
    <row r="90" spans="1:12" x14ac:dyDescent="0.25">
      <c r="A90" s="2" t="s">
        <v>1</v>
      </c>
      <c r="B90" s="3"/>
      <c r="C90" s="2" t="s">
        <v>2</v>
      </c>
      <c r="D90" s="2" t="s">
        <v>3</v>
      </c>
      <c r="E90" s="2" t="s">
        <v>7</v>
      </c>
      <c r="F90" s="2"/>
      <c r="G90" s="1"/>
    </row>
    <row r="92" spans="1:12" x14ac:dyDescent="0.25">
      <c r="A92" s="9" t="s">
        <v>4</v>
      </c>
      <c r="B92" s="10"/>
      <c r="C92" s="30">
        <f>(B84+F26)*2</f>
        <v>110.02021999999997</v>
      </c>
      <c r="D92" s="10" t="s">
        <v>8</v>
      </c>
      <c r="E92" s="34"/>
      <c r="F92" s="35"/>
    </row>
    <row r="93" spans="1:12" x14ac:dyDescent="0.25">
      <c r="A93" s="14" t="s">
        <v>5</v>
      </c>
      <c r="B93" s="13"/>
      <c r="C93" s="31">
        <f>B83*2+B85*4+B81*4</f>
        <v>927.54199999999992</v>
      </c>
      <c r="D93" s="13" t="s">
        <v>8</v>
      </c>
      <c r="E93" s="37"/>
      <c r="F93" s="38"/>
    </row>
    <row r="95" spans="1:12" x14ac:dyDescent="0.25">
      <c r="A95" s="7" t="s">
        <v>17</v>
      </c>
      <c r="B95" s="8"/>
      <c r="C95" s="29">
        <f>(SUM(B83:B85)+ROUNDUP(0.04*B81,1)+B87)*(1+E95)</f>
        <v>454.21871000000004</v>
      </c>
      <c r="D95" s="8" t="s">
        <v>9</v>
      </c>
      <c r="E95" s="33">
        <v>0.1</v>
      </c>
      <c r="F95" s="32" t="s">
        <v>45</v>
      </c>
    </row>
    <row r="97" spans="1:6" x14ac:dyDescent="0.25">
      <c r="A97" s="9" t="s">
        <v>10</v>
      </c>
      <c r="B97" s="10"/>
      <c r="C97" s="10"/>
      <c r="D97" s="10"/>
      <c r="E97" s="34"/>
      <c r="F97" s="35"/>
    </row>
    <row r="98" spans="1:6" x14ac:dyDescent="0.25">
      <c r="A98" s="11" t="s">
        <v>11</v>
      </c>
      <c r="C98">
        <f>B81*1</f>
        <v>5.7</v>
      </c>
      <c r="D98" t="s">
        <v>8</v>
      </c>
      <c r="E98" s="15"/>
      <c r="F98" s="36"/>
    </row>
    <row r="99" spans="1:6" x14ac:dyDescent="0.25">
      <c r="A99" s="12" t="s">
        <v>12</v>
      </c>
      <c r="B99" s="13"/>
      <c r="C99" s="13">
        <f>B81*2</f>
        <v>11.4</v>
      </c>
      <c r="D99" s="13" t="s">
        <v>8</v>
      </c>
      <c r="E99" s="37"/>
      <c r="F99" s="38"/>
    </row>
    <row r="103" spans="1:6" x14ac:dyDescent="0.25">
      <c r="C103" s="26"/>
    </row>
    <row r="106" spans="1:6" x14ac:dyDescent="0.25">
      <c r="A106" s="1"/>
    </row>
    <row r="107" spans="1:6" x14ac:dyDescent="0.25">
      <c r="A107" s="1"/>
    </row>
    <row r="127" spans="1:6" ht="21" x14ac:dyDescent="0.35">
      <c r="A127" s="6"/>
      <c r="B127" s="6"/>
      <c r="C127" s="6"/>
      <c r="D127" s="6"/>
      <c r="E127" s="6"/>
      <c r="F127" s="6"/>
    </row>
    <row r="129" spans="1:6" x14ac:dyDescent="0.25">
      <c r="A129" s="4"/>
      <c r="B129" s="5"/>
      <c r="C129" s="4"/>
      <c r="D129" s="4"/>
      <c r="E129" s="5"/>
      <c r="F129" s="4"/>
    </row>
    <row r="137" spans="1:6" x14ac:dyDescent="0.25">
      <c r="A137" s="1"/>
    </row>
    <row r="138" spans="1:6" x14ac:dyDescent="0.25">
      <c r="A138" s="1"/>
    </row>
  </sheetData>
  <mergeCells count="1">
    <mergeCell ref="A2:F2"/>
  </mergeCells>
  <phoneticPr fontId="5" type="noConversion"/>
  <pageMargins left="0.7" right="0.7" top="0.75" bottom="0.75" header="0.3" footer="0.3"/>
  <pageSetup paperSize="9" orientation="portrait" horizontalDpi="0" verticalDpi="0" r:id="rId1"/>
  <headerFooter>
    <oddHeader>&amp;L
&amp;C&amp;"-,Gras"&amp;20METRE - LE KANGTO</oddHead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Studio</vt:lpstr>
      <vt:lpstr>A1</vt:lpstr>
      <vt:lpstr>A2</vt:lpstr>
      <vt:lpstr>A3</vt:lpstr>
      <vt:lpstr>A4</vt:lpstr>
      <vt:lpstr>A5</vt:lpstr>
      <vt:lpstr>A6</vt:lpstr>
      <vt:lpstr>A7</vt:lpstr>
      <vt:lpstr>A8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Raphael</dc:creator>
  <cp:lastModifiedBy>Raphael</cp:lastModifiedBy>
  <cp:lastPrinted>2025-04-07T13:47:53Z</cp:lastPrinted>
  <dcterms:created xsi:type="dcterms:W3CDTF">2025-04-07T13:15:36Z</dcterms:created>
  <dcterms:modified xsi:type="dcterms:W3CDTF">2025-04-24T15:48:04Z</dcterms:modified>
</cp:coreProperties>
</file>