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210" windowWidth="15150" windowHeight="9375" tabRatio="945" firstSheet="1" activeTab="1"/>
  </bookViews>
  <sheets>
    <sheet name="PARAMETRE" sheetId="37" state="veryHidden" r:id="rId1"/>
    <sheet name="Accueil" sheetId="57" r:id="rId2"/>
    <sheet name="STATBSMS2" sheetId="40" state="hidden" r:id="rId3"/>
    <sheet name="DONNE" sheetId="58" r:id="rId4"/>
    <sheet name="PARAM" sheetId="59" r:id="rId5"/>
  </sheets>
  <externalReferences>
    <externalReference r:id="rId6"/>
    <externalReference r:id="rId7"/>
  </externalReferences>
  <definedNames>
    <definedName name="AC_CLIENTS" localSheetId="2">[1]PARAMETRE!$A$74:$A$85</definedName>
    <definedName name="AC_CLIENTS">PARAMETRE!$A$93:$A$97</definedName>
    <definedName name="An">Accueil!$E$16</definedName>
    <definedName name="Ben">[2]DONNE!$D$4</definedName>
    <definedName name="BENIB">#REF!</definedName>
    <definedName name="BENIZ">#REF!</definedName>
    <definedName name="BENIZB" localSheetId="2">[1]DPRIVE!$C$8</definedName>
    <definedName name="BENIZB">#REF!</definedName>
    <definedName name="BOA" localSheetId="2">[1]PARAMETRE!$C$98</definedName>
    <definedName name="BOA">PARAMETRE!$C$117</definedName>
    <definedName name="BOB">#REF!</definedName>
    <definedName name="CODE_EXPL">PARAMETRE!$A$113:$A$163</definedName>
    <definedName name="depart">PARAMETRE!$F$4</definedName>
    <definedName name="DISEPT">#REF!</definedName>
    <definedName name="DOMNOM">#REF!</definedName>
    <definedName name="DOMPRE">#REF!</definedName>
    <definedName name="EPAA" localSheetId="0">PARAMETRE!$D$45</definedName>
    <definedName name="Form1">SUBSTITUTE(SUBSTITUTE(SUBSTITUTE(SUBSTITUTE(SUBSTITUTE(SUBSTITUTE(SUBSTITUTE(SUBSTITUTE(#REF!,0,""),1,""),2,""),3,""),4,""),5,""),6,""),7,"")</definedName>
    <definedName name="Form2">SUBSTITUTE(SUBSTITUTE(SUBSTITUTE(SUBSTITUTE(SUBSTITUTE(SUBSTITUTE(SUBSTITUTE(SUBSTITUTE(PARAMETRE!$A$56,0,""),1,""),2,""),3,""),4,""),5,""),6,""),7,"")</definedName>
    <definedName name="JULIE" localSheetId="2">[1]PARAMETRE!$D$89</definedName>
    <definedName name="JULIE">PARAMETRE!$D$108</definedName>
    <definedName name="lista">OFFSET(depart,PARAMETRE!$L$2,1,PARAMETRE!$M$2,)</definedName>
    <definedName name="liste_code">PARAMETRE!$F$5:$F$106</definedName>
    <definedName name="matrice_1">PARAMETRE!$I$1</definedName>
    <definedName name="matrice_2">PARAMETRE!$J$1</definedName>
    <definedName name="Nation_Pays">OFFSET(PARAMETRE!$U$101,,,COUNTA(PARAMETRE!$U:$U)-1)</definedName>
    <definedName name="National">OFFSET(PARAMETRE!$U$101,,,COUNTA(PARAMETRE!$U:$U)-1)</definedName>
    <definedName name="Nom_pays">decaller(PARAMETRE!$V$101,,,COUNTA(PARAMETRE!$V$101:$V$302))</definedName>
    <definedName name="Nom_Profession">OFFSET(PARAMETRE!$R$452,,,COUNTA(PARAMETRE!$R:$R)-1)</definedName>
    <definedName name="NVCLIENT" localSheetId="2">PARAMETRE!$C$93:$C$96</definedName>
    <definedName name="NVCLIENT">PARAMETRE!$C$92:$C$97</definedName>
    <definedName name="PAPA">#REF!</definedName>
    <definedName name="Province1">OFFSET(PARAMETRE!$V$394,,,COUNTA(PARAMETRE!$X:$X)-1)</definedName>
    <definedName name="Province2">OFFSET(PARAMETRE!$W$394,,,COUNTA(PARAMETRE!$X:$X)-1)</definedName>
    <definedName name="Province3">OFFSET(PARAMETRE!$D$394,,,COUNTA(PARAMETRE!$D:$D)-1)</definedName>
    <definedName name="RIB_AGENCE">#REF!</definedName>
    <definedName name="Subst">SUBSTITUTE(SUBSTITUTE(Form1,8,""),9,"")</definedName>
    <definedName name="Subst2">SUBSTITUTE(SUBSTITUTE(Form2,8,""),9,"")</definedName>
    <definedName name="Titre">OFFSET(PARAMETRE!$AJ$3,,,COUNTA(PARAMETRE!$AJ:$AJ)-1)</definedName>
    <definedName name="TYPE_C">PARAMETRE!$D$93:$D$94</definedName>
    <definedName name="ZIGGY">#REF!</definedName>
    <definedName name="ZOMBE">#REF!</definedName>
    <definedName name="_xlnm.Print_Area" localSheetId="2">STATBSMS2!$A$1:$H$34</definedName>
  </definedNames>
  <calcPr calcId="125725"/>
  <customWorkbookViews>
    <customWorkbookView name="zomdoc" guid="{6FF8C7F0-EA9F-42C3-84E8-4E172D5D992C}" maximized="1" xWindow="1" yWindow="1" windowWidth="1440" windowHeight="675" activeSheetId="1"/>
  </customWorkbookViews>
</workbook>
</file>

<file path=xl/calcChain.xml><?xml version="1.0" encoding="utf-8"?>
<calcChain xmlns="http://schemas.openxmlformats.org/spreadsheetml/2006/main">
  <c r="AN1" i="37"/>
  <c r="A91" l="1"/>
  <c r="A90"/>
  <c r="AF7"/>
  <c r="AF6"/>
  <c r="A80"/>
  <c r="C100" a="1"/>
  <c r="A100" a="1"/>
  <c r="C100" l="1"/>
  <c r="A100"/>
  <c r="AF8"/>
  <c r="V98" l="1" a="1"/>
  <c r="V98" s="1"/>
  <c r="A30"/>
  <c r="M214" s="1"/>
  <c r="U96" a="1"/>
  <c r="U96" s="1"/>
  <c r="L2" l="1"/>
  <c r="K2"/>
  <c r="M2" s="1"/>
  <c r="AE12"/>
  <c r="C110" l="1"/>
  <c r="D110"/>
  <c r="D111" l="1"/>
  <c r="C111"/>
  <c r="C112" s="1"/>
  <c r="E112" l="1"/>
  <c r="E111"/>
  <c r="D112"/>
  <c r="AE8" l="1"/>
  <c r="AE7"/>
  <c r="AE6"/>
  <c r="A84" a="1"/>
  <c r="A84" l="1"/>
  <c r="AE10"/>
  <c r="K19" l="1"/>
  <c r="K20"/>
  <c r="A89" l="1" a="1"/>
  <c r="A89" s="1"/>
  <c r="W319" l="1"/>
  <c r="W321"/>
  <c r="A57"/>
  <c r="A102" l="1"/>
  <c r="A86"/>
  <c r="C102"/>
  <c r="A85" l="1"/>
  <c r="A101" l="1"/>
  <c r="V391" a="1"/>
  <c r="V391" s="1"/>
  <c r="V96"/>
  <c r="A81" l="1"/>
  <c r="AE11" l="1"/>
  <c r="D107"/>
  <c r="C107"/>
  <c r="D108"/>
  <c r="U98"/>
  <c r="W6"/>
  <c r="D81"/>
  <c r="Y102"/>
  <c r="Y103"/>
  <c r="Y104"/>
  <c r="Y105"/>
  <c r="Y106"/>
  <c r="Y107"/>
  <c r="Y108"/>
  <c r="Y109"/>
  <c r="Y110"/>
  <c r="Y111"/>
  <c r="Y112"/>
  <c r="Y113"/>
  <c r="Y114"/>
  <c r="Y115"/>
  <c r="Y116"/>
  <c r="Y117"/>
  <c r="Y118"/>
  <c r="Y119"/>
  <c r="Y120"/>
  <c r="Y121"/>
  <c r="Y122"/>
  <c r="Y123"/>
  <c r="Y124"/>
  <c r="Y125"/>
  <c r="Y126"/>
  <c r="Y127"/>
  <c r="Y128"/>
  <c r="Y129"/>
  <c r="Y130"/>
  <c r="Y131"/>
  <c r="Y132"/>
  <c r="Y133"/>
  <c r="Y134"/>
  <c r="Y135"/>
  <c r="Y136"/>
  <c r="Y137"/>
  <c r="Y138"/>
  <c r="Y139"/>
  <c r="Y140"/>
  <c r="Y141"/>
  <c r="Y142"/>
  <c r="Y143"/>
  <c r="Y144"/>
  <c r="Y145"/>
  <c r="Y146"/>
  <c r="Y147"/>
  <c r="Y148"/>
  <c r="Y149"/>
  <c r="Y150"/>
  <c r="Y151"/>
  <c r="Y152"/>
  <c r="Y153"/>
  <c r="Y154"/>
  <c r="Y155"/>
  <c r="Y156"/>
  <c r="Y157"/>
  <c r="Y158"/>
  <c r="Y159"/>
  <c r="Y160"/>
  <c r="Y161"/>
  <c r="Y162"/>
  <c r="Y163"/>
  <c r="Y164"/>
  <c r="Y165"/>
  <c r="Y166"/>
  <c r="Y167"/>
  <c r="Y168"/>
  <c r="Y169"/>
  <c r="Y170"/>
  <c r="Y171"/>
  <c r="Y172"/>
  <c r="Y173"/>
  <c r="Y174"/>
  <c r="Y175"/>
  <c r="Y176"/>
  <c r="Y177"/>
  <c r="Y178"/>
  <c r="Y179"/>
  <c r="Y180"/>
  <c r="Y181"/>
  <c r="Y182"/>
  <c r="Y183"/>
  <c r="Y184"/>
  <c r="Y185"/>
  <c r="Y186"/>
  <c r="Y187"/>
  <c r="Y188"/>
  <c r="Y189"/>
  <c r="Y190"/>
  <c r="Y191"/>
  <c r="Y192"/>
  <c r="Y193"/>
  <c r="Y194"/>
  <c r="Y195"/>
  <c r="Y196"/>
  <c r="Y197"/>
  <c r="Y198"/>
  <c r="Y199"/>
  <c r="Y200"/>
  <c r="Y201"/>
  <c r="Y202"/>
  <c r="Y203"/>
  <c r="Y204"/>
  <c r="Y205"/>
  <c r="Y206"/>
  <c r="Y207"/>
  <c r="Y208"/>
  <c r="Y209"/>
  <c r="Y210"/>
  <c r="Y211"/>
  <c r="Y212"/>
  <c r="Y213"/>
  <c r="Y214"/>
  <c r="Y215"/>
  <c r="Y216"/>
  <c r="Y217"/>
  <c r="Y218"/>
  <c r="Y219"/>
  <c r="Y220"/>
  <c r="Y221"/>
  <c r="Y222"/>
  <c r="Y223"/>
  <c r="Y224"/>
  <c r="Y225"/>
  <c r="Y226"/>
  <c r="Y227"/>
  <c r="Y228"/>
  <c r="Y229"/>
  <c r="Y230"/>
  <c r="Y231"/>
  <c r="Y232"/>
  <c r="Y233"/>
  <c r="Y234"/>
  <c r="Y235"/>
  <c r="Y236"/>
  <c r="Y237"/>
  <c r="Y238"/>
  <c r="Y239"/>
  <c r="Y240"/>
  <c r="Y241"/>
  <c r="Y242"/>
  <c r="Y243"/>
  <c r="Y244"/>
  <c r="Y245"/>
  <c r="Y246"/>
  <c r="Y247"/>
  <c r="Y248"/>
  <c r="Y249"/>
  <c r="Y250"/>
  <c r="Y251"/>
  <c r="Y252"/>
  <c r="Y253"/>
  <c r="Y254"/>
  <c r="Y255"/>
  <c r="Y256"/>
  <c r="Y257"/>
  <c r="Y258"/>
  <c r="Y259"/>
  <c r="Y260"/>
  <c r="Y261"/>
  <c r="Y262"/>
  <c r="Y263"/>
  <c r="Y264"/>
  <c r="Y265"/>
  <c r="Y266"/>
  <c r="Y267"/>
  <c r="Y268"/>
  <c r="Y269"/>
  <c r="Y270"/>
  <c r="Y271"/>
  <c r="Y272"/>
  <c r="Y273"/>
  <c r="Y274"/>
  <c r="Y275"/>
  <c r="Y276"/>
  <c r="Y277"/>
  <c r="Y278"/>
  <c r="Y279"/>
  <c r="Y280"/>
  <c r="Y281"/>
  <c r="Y282"/>
  <c r="Y283"/>
  <c r="Y284"/>
  <c r="Y285"/>
  <c r="Y286"/>
  <c r="Y287"/>
  <c r="Y288"/>
  <c r="Y289"/>
  <c r="Y290"/>
  <c r="Y291"/>
  <c r="Y292"/>
  <c r="Y293"/>
  <c r="Y294"/>
  <c r="Y295"/>
  <c r="Y296"/>
  <c r="Y297"/>
  <c r="Y298"/>
  <c r="Y299"/>
  <c r="Y300"/>
  <c r="Y301"/>
  <c r="Y302"/>
  <c r="Y101"/>
  <c r="K18"/>
  <c r="A31" l="1"/>
  <c r="Z76"/>
  <c r="Z75"/>
  <c r="A29"/>
  <c r="V347" l="1"/>
  <c r="A107"/>
  <c r="A35"/>
  <c r="A34"/>
  <c r="Q201" l="1"/>
  <c r="AE13"/>
  <c r="A39"/>
  <c r="A38"/>
  <c r="A37"/>
  <c r="A36"/>
  <c r="C101" l="1"/>
  <c r="C118" l="1"/>
  <c r="C117"/>
  <c r="C119"/>
  <c r="C116"/>
  <c r="D116"/>
  <c r="C127"/>
  <c r="D125" s="1"/>
  <c r="D119" l="1"/>
  <c r="D118" l="1"/>
  <c r="Q203"/>
  <c r="Q202"/>
  <c r="P202"/>
  <c r="P203"/>
  <c r="C168" l="1"/>
  <c r="W20" l="1"/>
  <c r="V16"/>
  <c r="V19" s="1"/>
  <c r="V15"/>
  <c r="K22"/>
  <c r="C193"/>
  <c r="C192"/>
  <c r="C191"/>
  <c r="C190"/>
  <c r="C189"/>
  <c r="A109"/>
  <c r="P201" l="1"/>
  <c r="Q204" s="1"/>
  <c r="V18"/>
  <c r="V17"/>
  <c r="W21"/>
  <c r="A108"/>
  <c r="C108"/>
  <c r="C174" l="1"/>
  <c r="C173"/>
  <c r="C194" l="1"/>
  <c r="D173"/>
  <c r="X5"/>
  <c r="W5"/>
  <c r="V5"/>
  <c r="U5"/>
  <c r="A56" l="1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Z57"/>
  <c r="Z58"/>
  <c r="Z59"/>
  <c r="Z60"/>
  <c r="Z61"/>
  <c r="Z62"/>
  <c r="Z63"/>
  <c r="Z64"/>
  <c r="Z65"/>
  <c r="Z66"/>
  <c r="Z67"/>
  <c r="Z68"/>
  <c r="Z69"/>
  <c r="Z70"/>
  <c r="Z71"/>
  <c r="Z72"/>
  <c r="Z73"/>
  <c r="Z74"/>
  <c r="A110"/>
  <c r="A58" l="1"/>
  <c r="A59" s="1"/>
  <c r="D121"/>
  <c r="C121"/>
  <c r="Z4"/>
  <c r="J1" a="1"/>
  <c r="J1" s="1"/>
  <c r="I1" a="1"/>
  <c r="I1" s="1"/>
  <c r="AA3" l="1"/>
  <c r="AA5"/>
  <c r="AA7"/>
  <c r="AA9"/>
  <c r="AA11"/>
  <c r="AA13"/>
  <c r="AA15"/>
  <c r="AA17"/>
  <c r="AA19"/>
  <c r="AA21"/>
  <c r="AA23"/>
  <c r="AA25"/>
  <c r="AA27"/>
  <c r="AA29"/>
  <c r="AA31"/>
  <c r="AA33"/>
  <c r="AA35"/>
  <c r="AA37"/>
  <c r="AA39"/>
  <c r="AA41"/>
  <c r="AA43"/>
  <c r="AA45"/>
  <c r="AA47"/>
  <c r="AA49"/>
  <c r="AA57"/>
  <c r="AA59"/>
  <c r="AA61"/>
  <c r="AA63"/>
  <c r="AA67"/>
  <c r="AA71"/>
  <c r="AA75"/>
  <c r="AA2"/>
  <c r="AA4"/>
  <c r="AA6"/>
  <c r="AA8"/>
  <c r="AA10"/>
  <c r="AA12"/>
  <c r="AA14"/>
  <c r="AA16"/>
  <c r="AA18"/>
  <c r="AA20"/>
  <c r="AA22"/>
  <c r="AA24"/>
  <c r="AA26"/>
  <c r="AA28"/>
  <c r="AA30"/>
  <c r="AA32"/>
  <c r="AA34"/>
  <c r="AA36"/>
  <c r="AA38"/>
  <c r="AA40"/>
  <c r="AA42"/>
  <c r="AA44"/>
  <c r="AA46"/>
  <c r="AA48"/>
  <c r="AA50"/>
  <c r="AA58"/>
  <c r="AA60"/>
  <c r="AA62"/>
  <c r="AA64"/>
  <c r="AA66"/>
  <c r="AA68"/>
  <c r="AA70"/>
  <c r="AA72"/>
  <c r="AA74"/>
  <c r="AA76"/>
  <c r="AA65"/>
  <c r="AA69"/>
  <c r="AA73"/>
  <c r="AA1"/>
  <c r="C2" i="40" l="1"/>
  <c r="B12" l="1"/>
  <c r="B13" s="1"/>
  <c r="B15"/>
  <c r="B16"/>
  <c r="B17"/>
  <c r="B18"/>
  <c r="B19"/>
  <c r="B20"/>
  <c r="B21"/>
  <c r="B22"/>
  <c r="B23"/>
  <c r="B24"/>
  <c r="B25"/>
  <c r="B26"/>
  <c r="B27"/>
  <c r="B28"/>
  <c r="B29"/>
  <c r="B30"/>
  <c r="B14"/>
  <c r="D142" i="37"/>
  <c r="A23" s="1"/>
  <c r="C153"/>
  <c r="C152"/>
  <c r="C149"/>
  <c r="C146"/>
  <c r="C148"/>
  <c r="C147"/>
  <c r="C150"/>
  <c r="C122" l="1"/>
  <c r="D122" l="1"/>
  <c r="D98"/>
  <c r="A22" l="1"/>
  <c r="V12" l="1"/>
  <c r="V13" l="1"/>
  <c r="V14"/>
  <c r="U6" l="1"/>
  <c r="C151"/>
  <c r="K26"/>
  <c r="K25"/>
  <c r="K24"/>
  <c r="K23"/>
  <c r="K21"/>
  <c r="K17"/>
  <c r="K16"/>
  <c r="K15"/>
  <c r="K14"/>
  <c r="K13"/>
  <c r="K12"/>
  <c r="K11"/>
  <c r="K10"/>
  <c r="K9"/>
  <c r="K8"/>
  <c r="K7"/>
  <c r="K6"/>
  <c r="K5"/>
  <c r="AE9" l="1"/>
  <c r="C130" a="1"/>
  <c r="C130" s="1"/>
  <c r="D134" l="1"/>
  <c r="D137" l="1"/>
  <c r="L5" s="1"/>
  <c r="C134"/>
  <c r="L22" l="1"/>
  <c r="L13"/>
  <c r="L8"/>
  <c r="L21"/>
  <c r="L6"/>
  <c r="L25"/>
  <c r="L20"/>
  <c r="L9"/>
  <c r="L14"/>
  <c r="L24"/>
  <c r="L12"/>
  <c r="L17"/>
  <c r="L7"/>
  <c r="L23"/>
  <c r="L16"/>
  <c r="L19"/>
  <c r="L18"/>
  <c r="L26"/>
  <c r="L10"/>
  <c r="L15"/>
  <c r="L11"/>
  <c r="D138" l="1" a="1"/>
  <c r="D138" s="1"/>
  <c r="D168" l="1"/>
  <c r="D117" l="1"/>
  <c r="D153"/>
  <c r="D152"/>
  <c r="D151"/>
  <c r="D150"/>
  <c r="D149"/>
  <c r="D148"/>
  <c r="D147"/>
  <c r="D146"/>
</calcChain>
</file>

<file path=xl/sharedStrings.xml><?xml version="1.0" encoding="utf-8"?>
<sst xmlns="http://schemas.openxmlformats.org/spreadsheetml/2006/main" count="3731" uniqueCount="2327">
  <si>
    <t>DATE DU JOUR</t>
  </si>
  <si>
    <t>EXPL</t>
  </si>
  <si>
    <t>A</t>
  </si>
  <si>
    <t>SITUATION MATRIMONIALE</t>
  </si>
  <si>
    <t>LOISIRS</t>
  </si>
  <si>
    <t>VALEUR</t>
  </si>
  <si>
    <t xml:space="preserve"> </t>
  </si>
  <si>
    <t>NATIONALITE</t>
  </si>
  <si>
    <t>PAYS</t>
  </si>
  <si>
    <t>BURKINA FASO</t>
  </si>
  <si>
    <t>OUAGADOUGOU</t>
  </si>
  <si>
    <t>DEMANDE DE CARTE SESAME</t>
  </si>
  <si>
    <t>BF084</t>
  </si>
  <si>
    <t>SPORT</t>
  </si>
  <si>
    <t>MOTO</t>
  </si>
  <si>
    <t>NON</t>
  </si>
  <si>
    <t>NEANT</t>
  </si>
  <si>
    <t>BIB</t>
  </si>
  <si>
    <t>CONCUBINAGE</t>
  </si>
  <si>
    <t>SGBB</t>
  </si>
  <si>
    <t>MARIE</t>
  </si>
  <si>
    <t>DANSE</t>
  </si>
  <si>
    <t>VEHICULE</t>
  </si>
  <si>
    <t>C</t>
  </si>
  <si>
    <t>Mr</t>
  </si>
  <si>
    <t>LISTE AUTORISEE POUR ID</t>
  </si>
  <si>
    <t>CATEGORIE AGENT F. PUBLIQUE</t>
  </si>
  <si>
    <t>Mle</t>
  </si>
  <si>
    <t>B</t>
  </si>
  <si>
    <t>Mme</t>
  </si>
  <si>
    <t>D</t>
  </si>
  <si>
    <t>E</t>
  </si>
  <si>
    <t>P</t>
  </si>
  <si>
    <t>CELIBATAIRE</t>
  </si>
  <si>
    <t>DIVORCE</t>
  </si>
  <si>
    <t>MOYEN DE DEPLACEMENT</t>
  </si>
  <si>
    <t>TAXI/BUS</t>
  </si>
  <si>
    <t>VELO</t>
  </si>
  <si>
    <t>BANQUE CONFRERE</t>
  </si>
  <si>
    <t>BICIA B</t>
  </si>
  <si>
    <t>BSIC</t>
  </si>
  <si>
    <t>BABF</t>
  </si>
  <si>
    <t>BHBF</t>
  </si>
  <si>
    <t>CORIS BANK</t>
  </si>
  <si>
    <t>ECOBANK</t>
  </si>
  <si>
    <t>BRS</t>
  </si>
  <si>
    <t>BCB</t>
  </si>
  <si>
    <t>CBAO</t>
  </si>
  <si>
    <t>CAISSE POPULAIRE</t>
  </si>
  <si>
    <t>VOYAGE</t>
  </si>
  <si>
    <t>CINEMA</t>
  </si>
  <si>
    <t>LECTURE</t>
  </si>
  <si>
    <t>FOOTBALL</t>
  </si>
  <si>
    <t>MUSIQUE</t>
  </si>
  <si>
    <t>PROMENADE</t>
  </si>
  <si>
    <t>MARCHE</t>
  </si>
  <si>
    <t>VEUF-VEUVE</t>
  </si>
  <si>
    <t>ELEMENTS TYPES PIECES</t>
  </si>
  <si>
    <t>PASSPORT</t>
  </si>
  <si>
    <t>BULLETIN DE NAISSANCE</t>
  </si>
  <si>
    <t>ATTESTATION D'IDENTITE</t>
  </si>
  <si>
    <t>CARTE CONSULAIRE</t>
  </si>
  <si>
    <t>CARTE DE SEJOUR</t>
  </si>
  <si>
    <t>CNI</t>
  </si>
  <si>
    <t>AUTOMATISATION CLE RIB</t>
  </si>
  <si>
    <t>KOULOUBA</t>
  </si>
  <si>
    <t>DATE DE REFERENCE VIREMENT</t>
  </si>
  <si>
    <t>NATURE COMPTE</t>
  </si>
  <si>
    <t>COMPTE JOINT</t>
  </si>
  <si>
    <t>CNI+ACTE DE NAISSANCE</t>
  </si>
  <si>
    <t>PASSPORT+ACTE DE NAISSANCE</t>
  </si>
  <si>
    <t>CNI+ACTE DE NAISSANCE+FACTURE</t>
  </si>
  <si>
    <t>PASSPORT+ACTE DE NAISSANCE+FACTURE</t>
  </si>
  <si>
    <t>CONVERSION CATEGORIE EN JOUR</t>
  </si>
  <si>
    <t>B, C</t>
  </si>
  <si>
    <t>D, E</t>
  </si>
  <si>
    <t>MAISON</t>
  </si>
  <si>
    <t>CONDITION POUR IMPRESSION 2</t>
  </si>
  <si>
    <t>COMPTE EPARGNE</t>
  </si>
  <si>
    <t>AUTOMATISATION AGENCE</t>
  </si>
  <si>
    <t>N°</t>
  </si>
  <si>
    <t>N° COMPTE</t>
  </si>
  <si>
    <t>TELEPHONE</t>
  </si>
  <si>
    <t>PASSPORT+FACTURE</t>
  </si>
  <si>
    <t>CNI+FACTURE</t>
  </si>
  <si>
    <t>TYPE DE COMPTE</t>
  </si>
  <si>
    <t xml:space="preserve"> BIENS IMMOBILIERS</t>
  </si>
  <si>
    <t>PARCELLE</t>
  </si>
  <si>
    <t>AGENCE ELITE</t>
  </si>
  <si>
    <t>REFERENCES IGOR</t>
  </si>
  <si>
    <t>AGENCE CENTRALE</t>
  </si>
  <si>
    <t>AGENCE DE SANKARYAARE</t>
  </si>
  <si>
    <t>AGENCE BOBO BOULEVARD</t>
  </si>
  <si>
    <t>BUREAU BOBO GRAND MARCHE</t>
  </si>
  <si>
    <t>AGENCE ZONE I</t>
  </si>
  <si>
    <t>BUREAU DE ESSAKANE</t>
  </si>
  <si>
    <t>BUREAU DE PISSY</t>
  </si>
  <si>
    <t>BUREAU DE POUYTENGA</t>
  </si>
  <si>
    <t>AGENCE ZOGONA</t>
  </si>
  <si>
    <t>AGENCE DE TAMPOUY</t>
  </si>
  <si>
    <t>AGENCE AV FRANCE AFRIQUE</t>
  </si>
  <si>
    <t>BUREAU DE OUAGA 2000</t>
  </si>
  <si>
    <t>BUREAU DE L'UEMOA</t>
  </si>
  <si>
    <t>AGENCE KWAME N'KRUMAH</t>
  </si>
  <si>
    <t>AGENCE DE GOUNGHIN</t>
  </si>
  <si>
    <t>AGENCE DE FADA N'GOURMA</t>
  </si>
  <si>
    <t>AGENCE DE DEDOUGOU</t>
  </si>
  <si>
    <t>BUREAU DE GAOUA</t>
  </si>
  <si>
    <t>AGENCE BOBO-DIOULASSO</t>
  </si>
  <si>
    <t>AGENCE DE KOUDOUGOU</t>
  </si>
  <si>
    <t>AGENCE DE KOUPELA</t>
  </si>
  <si>
    <t>15005</t>
  </si>
  <si>
    <t>TAMPOUY</t>
  </si>
  <si>
    <t>CARTE CONSULAIRE+FACTURE</t>
  </si>
  <si>
    <t>COMPTE RETRAITE</t>
  </si>
  <si>
    <t>2 PHOTOS</t>
  </si>
  <si>
    <t>GESTION POSITION DES ADRESSES TELEPHONIQUES</t>
  </si>
  <si>
    <t xml:space="preserve">CNI </t>
  </si>
  <si>
    <t xml:space="preserve">PASSPORT </t>
  </si>
  <si>
    <t xml:space="preserve">CARTE CONSULAIRE </t>
  </si>
  <si>
    <t>SOLDE</t>
  </si>
  <si>
    <t>Service Monétique / BSMS</t>
  </si>
  <si>
    <t>NOM EXPLOITANT</t>
  </si>
  <si>
    <t>REF EXPLOITANT</t>
  </si>
  <si>
    <t>CONTACTE TELEPHONIQUE</t>
  </si>
  <si>
    <t>ADRESSE MAIL EXPLOITANT</t>
  </si>
  <si>
    <t>ADRESSE MAIL</t>
  </si>
  <si>
    <t>SEXE</t>
  </si>
  <si>
    <t>TYPES DE COMPTES</t>
  </si>
  <si>
    <t>PACK SALARIA PUBLIQUE</t>
  </si>
  <si>
    <t>PACK SALARIA PRIVE</t>
  </si>
  <si>
    <t>COMPTE VIREMENT DE SALAIRE PUBLIQUE</t>
  </si>
  <si>
    <t>COMPTE VIREMENT DE SALAIRE PRIVE</t>
  </si>
  <si>
    <t>PACK FONXIONARIA</t>
  </si>
  <si>
    <t>PACK MON BUSINESS</t>
  </si>
  <si>
    <t>ANCIEN CLIENT PACK FONXIONARIA</t>
  </si>
  <si>
    <t>ANCIEN CLIENT PACK SALARIA</t>
  </si>
  <si>
    <t>COMPTE EPARGNE PRIVE</t>
  </si>
  <si>
    <t>COMPTE EPARGNE PUBLIQUE</t>
  </si>
  <si>
    <t>COMPTE CHEQUE</t>
  </si>
  <si>
    <t>GESTION ELEMNT A COCHER DANS LA CHECK LIST</t>
  </si>
  <si>
    <t>AGENCES BOA-BF</t>
  </si>
  <si>
    <t>RIB FORM. STANDARD</t>
  </si>
  <si>
    <t>AGENCES INDEXEE</t>
  </si>
  <si>
    <t>RIB INDEXE</t>
  </si>
  <si>
    <t>AVEC BSMS</t>
  </si>
  <si>
    <t>AVEC SESAME</t>
  </si>
  <si>
    <t>GESTION IMPRIMES MONETIQUES</t>
  </si>
  <si>
    <t>COMPTE CHEQUE PARTICULIERS</t>
  </si>
  <si>
    <t>ANCIENS CLIENTS</t>
  </si>
  <si>
    <t>CHECK LIST OUVERTURE DE COMPTE PACK SALARIA</t>
  </si>
  <si>
    <t>CHECK LIST OUVERTURE DE COMPTE CHEQUE VIREMENT DE SALAIRE</t>
  </si>
  <si>
    <t>CHECK LIST OUVERTURE DE COMPTE CHEQUE PARTICULIER</t>
  </si>
  <si>
    <t>CHECK LIST OUVERTURE DE COMPTE EPARGNE</t>
  </si>
  <si>
    <t>CHECK LIST OUVERTURE DE COMPTE PACK FONXIONARIA</t>
  </si>
  <si>
    <t>CHECK LIST OUVERTURE DE COMPTE PACK MON BUSINESS</t>
  </si>
  <si>
    <t>CHECK LIST OUVERTURE DE COMPTE JOINT</t>
  </si>
  <si>
    <t>CHECK LIST OUVERTURE DE COMPTE RETRAITE</t>
  </si>
  <si>
    <t>CHECK LIST OUVERTURE DE COMPTE ANCIEN CLIENT</t>
  </si>
  <si>
    <t>CHECK LIST INTEGRATION PACK FONXIONARIA</t>
  </si>
  <si>
    <t>CHECK LIST INTEGRATION PACK SALARIA</t>
  </si>
  <si>
    <t>PHOTOS&amp;BULLETIN</t>
  </si>
  <si>
    <t>HABILITATIONS</t>
  </si>
  <si>
    <t>CORRESPONDANTS</t>
  </si>
  <si>
    <t>CONDITION NOM PRENOM</t>
  </si>
  <si>
    <t>CODE G</t>
  </si>
  <si>
    <t>COMPTE PEA</t>
  </si>
  <si>
    <t>DOMICILIATIONS PRIVE</t>
  </si>
  <si>
    <t>VILLE AGENCE</t>
  </si>
  <si>
    <t>BOBO-DIOULASSO</t>
  </si>
  <si>
    <t>ELITE</t>
  </si>
  <si>
    <t>KOUDOUGOU</t>
  </si>
  <si>
    <t>KOUPELA</t>
  </si>
  <si>
    <t>POUYTENGA</t>
  </si>
  <si>
    <t>ZOGONA</t>
  </si>
  <si>
    <t>GOUNGHIN</t>
  </si>
  <si>
    <t>PISSY</t>
  </si>
  <si>
    <t>France AFRIQUE</t>
  </si>
  <si>
    <t>OUAGA 2000</t>
  </si>
  <si>
    <t>FADA N'GOURMA</t>
  </si>
  <si>
    <t>DEDOUGOU</t>
  </si>
  <si>
    <t>GAOUA</t>
  </si>
  <si>
    <t>NEMNIN</t>
  </si>
  <si>
    <t>BOBO BOULEVARD</t>
  </si>
  <si>
    <t>BOBO GRAND MARCHE</t>
  </si>
  <si>
    <t>UEMOA</t>
  </si>
  <si>
    <t>KWAME N'KRUMAH</t>
  </si>
  <si>
    <t>ZONE I</t>
  </si>
  <si>
    <t>ESSAKANE</t>
  </si>
  <si>
    <t>BULLETIN/CONTRAT</t>
  </si>
  <si>
    <t>2 PHOTOS+BULLETIN/CONTRAT</t>
  </si>
  <si>
    <t>BSMS</t>
  </si>
  <si>
    <t>SESAME</t>
  </si>
  <si>
    <t>BSMS+SESAME</t>
  </si>
  <si>
    <t>CNE</t>
  </si>
  <si>
    <t>COMPTES PACK</t>
  </si>
  <si>
    <t>ELEVAGE</t>
  </si>
  <si>
    <t>NOM &amp; PRENOM</t>
  </si>
  <si>
    <t>TYPE DE PRODUITS</t>
  </si>
  <si>
    <t>REFERENCES PIECES</t>
  </si>
  <si>
    <t>MISE A DISPOSITION D'UN CONTRAT B-SMS/ PACKAGE ET HORS PACKAGE</t>
  </si>
  <si>
    <t>Dans le cadre de l'intégration des clients ci-dessous aux PACKAGES et hors PACKAGES,  nous vous prions de créer un contrat B-SMS</t>
  </si>
  <si>
    <t>adossés à leurs comptes ci-dessous listés.</t>
  </si>
  <si>
    <t>CODE
AGENT</t>
  </si>
  <si>
    <t>CHEMIN D'ACCES PIECE JOINTES</t>
  </si>
  <si>
    <t>C:\Documents and Settings\bf0171\bureau\SGIIOC BOA-BF\conditions générales CH-PEA.pdf</t>
  </si>
  <si>
    <t>C:\Documents and Settings\bf0171\bureau\SGIIOC BOA-BF\conditions générales PS mail.pdf</t>
  </si>
  <si>
    <t>C:\Documents and Settings\bf0171\bureau\SGIIOC BOA-BF\conditions générales PS imp.pdf</t>
  </si>
  <si>
    <t>C:\Documents and Settings\bf0171\bureau\SGIIOC BOA-BF\Notice d'information sur les instruments de paiement.pdf</t>
  </si>
  <si>
    <t>C:\Documents and Settings\bf0171\bureau\SGIIOC BOA-BF\conditions générales PF.pdf</t>
  </si>
  <si>
    <t>C:\Documents and Settings\bf0171\bureau\SGIIOC BOA-BF\conditions générales PEA.pdf</t>
  </si>
  <si>
    <t>C:\Documents and Settings\bf0171\bureau\SGIIOC BOA-BF\conditions générales PB1.pdf</t>
  </si>
  <si>
    <t>C:\Documents and Settings\bf0171\bureau\SGIIOC BOA-BF\conditions générales PB2.pdf</t>
  </si>
  <si>
    <t>C:\Documents and Settings\bf0171\bureau\SGIIOC BOA-BF\conditions générales SESAME+.pdf</t>
  </si>
  <si>
    <t>CONTRAT BSMS</t>
  </si>
  <si>
    <t>M</t>
  </si>
  <si>
    <t>BF0149</t>
  </si>
  <si>
    <t>ZH</t>
  </si>
  <si>
    <t>BF0117</t>
  </si>
  <si>
    <t>A1</t>
  </si>
  <si>
    <t>CENTRALISATION</t>
  </si>
  <si>
    <t>BF0045</t>
  </si>
  <si>
    <t>BF0230</t>
  </si>
  <si>
    <t>BF0013</t>
  </si>
  <si>
    <t>INT12</t>
  </si>
  <si>
    <t>BF0204</t>
  </si>
  <si>
    <t>BF0120</t>
  </si>
  <si>
    <t>BF0142</t>
  </si>
  <si>
    <t>BF0075</t>
  </si>
  <si>
    <t>BF0271</t>
  </si>
  <si>
    <t>BF0121</t>
  </si>
  <si>
    <t>DASSASGO ZONE I</t>
  </si>
  <si>
    <t>BF0240</t>
  </si>
  <si>
    <t>BF0242</t>
  </si>
  <si>
    <t>BF0111</t>
  </si>
  <si>
    <t>BF0079</t>
  </si>
  <si>
    <t>BF0029</t>
  </si>
  <si>
    <t>BF0207</t>
  </si>
  <si>
    <t>BF0206</t>
  </si>
  <si>
    <t>DE</t>
  </si>
  <si>
    <t>IL</t>
  </si>
  <si>
    <t>A3</t>
  </si>
  <si>
    <t>QP</t>
  </si>
  <si>
    <t>JL</t>
  </si>
  <si>
    <t>KE</t>
  </si>
  <si>
    <t>PA</t>
  </si>
  <si>
    <t>BF0171</t>
  </si>
  <si>
    <t>BF0212</t>
  </si>
  <si>
    <t>BF0228</t>
  </si>
  <si>
    <t>LE</t>
  </si>
  <si>
    <t>SO</t>
  </si>
  <si>
    <t>YY</t>
  </si>
  <si>
    <t>BFINT1</t>
  </si>
  <si>
    <t>I1</t>
  </si>
  <si>
    <t>BF0020</t>
  </si>
  <si>
    <t>JC</t>
  </si>
  <si>
    <t>BF0273</t>
  </si>
  <si>
    <t>NG</t>
  </si>
  <si>
    <t>INTM</t>
  </si>
  <si>
    <t>MAISON DE L'ENTREPRISE</t>
  </si>
  <si>
    <t>KS</t>
  </si>
  <si>
    <t>E1</t>
  </si>
  <si>
    <t>JH</t>
  </si>
  <si>
    <t>KANO Moussa</t>
  </si>
  <si>
    <t>mkano@boaburkinafaso.com</t>
  </si>
  <si>
    <t>J4</t>
  </si>
  <si>
    <t>Madame TARPILGA Mariam</t>
  </si>
  <si>
    <t>mtarpilga@boaburkinafaso.com</t>
  </si>
  <si>
    <t>F</t>
  </si>
  <si>
    <t>Madame ZAGRE Mariam</t>
  </si>
  <si>
    <t>TH</t>
  </si>
  <si>
    <t>GT</t>
  </si>
  <si>
    <t>BJ</t>
  </si>
  <si>
    <t>A5</t>
  </si>
  <si>
    <t>ZB</t>
  </si>
  <si>
    <t>BM</t>
  </si>
  <si>
    <t>2I</t>
  </si>
  <si>
    <t>BS</t>
  </si>
  <si>
    <t>SM</t>
  </si>
  <si>
    <t>DI</t>
  </si>
  <si>
    <t>DG</t>
  </si>
  <si>
    <t>AGENCES</t>
  </si>
  <si>
    <t>VILLE/AGENCE</t>
  </si>
  <si>
    <t>CODE AGENT</t>
  </si>
  <si>
    <t>9J</t>
  </si>
  <si>
    <t>Madame MAIGA Maïmounata</t>
  </si>
  <si>
    <t>mmaiga@boaburkinafaso.com</t>
  </si>
  <si>
    <t>Monsieur DAMBINA GILES</t>
  </si>
  <si>
    <t>gdambina@boaburkinafaso.com</t>
  </si>
  <si>
    <t>ZE</t>
  </si>
  <si>
    <t>Madame BOYARM Mariétou</t>
  </si>
  <si>
    <t>mboyarm@boaburkinafaso.com</t>
  </si>
  <si>
    <t>Monsieur THIOMBIANO Djibril</t>
  </si>
  <si>
    <t>dthiombiano@boaburkinafaso.com</t>
  </si>
  <si>
    <t>FC</t>
  </si>
  <si>
    <t>Madame SANOU Maïmouna</t>
  </si>
  <si>
    <t>msanou@boaburkinafaso.com</t>
  </si>
  <si>
    <t>Madame OUIMINGA Aïcha</t>
  </si>
  <si>
    <t>abarry@boaburkinafaso.com</t>
  </si>
  <si>
    <t>msoalla@boaburkinafaso.com</t>
  </si>
  <si>
    <t>SH</t>
  </si>
  <si>
    <t>ssidibe@boaburkinafaso.com</t>
  </si>
  <si>
    <t>BH</t>
  </si>
  <si>
    <t>Madame KARAMBIRI Myriam</t>
  </si>
  <si>
    <t>mbambara@boaburkinafaso.com</t>
  </si>
  <si>
    <t>AC</t>
  </si>
  <si>
    <t>Madame BAMA Marguérite</t>
  </si>
  <si>
    <t>mbama@boaburkinafaso.com</t>
  </si>
  <si>
    <t>PL</t>
  </si>
  <si>
    <t>Monsieur OUEDRAOGO Thierry</t>
  </si>
  <si>
    <t>touedraogo@boaburkinafaso.com</t>
  </si>
  <si>
    <t>Madame OUEDRAOGO Catherine</t>
  </si>
  <si>
    <t>couedraogo@boaburkinafaso.com</t>
  </si>
  <si>
    <t>Monsieur SANOGO Issiaka</t>
  </si>
  <si>
    <t>isanogo@boaburkinafaso.com</t>
  </si>
  <si>
    <t>DECOUVERT</t>
  </si>
  <si>
    <t>BF0168</t>
  </si>
  <si>
    <t>LB</t>
  </si>
  <si>
    <t>BF0010</t>
  </si>
  <si>
    <t>FICHIER A JOINDRE AU MAIL</t>
  </si>
  <si>
    <t>BF0107</t>
  </si>
  <si>
    <t>BE</t>
  </si>
  <si>
    <t>EO</t>
  </si>
  <si>
    <t>KD</t>
  </si>
  <si>
    <t>Monsieur DIALLO Hamed Sékou</t>
  </si>
  <si>
    <t>sdiallo@boaburkinafaso.com</t>
  </si>
  <si>
    <t>nbakone@boaburkinafaso.com</t>
  </si>
  <si>
    <t>BB</t>
  </si>
  <si>
    <t>IR</t>
  </si>
  <si>
    <t>BF0252</t>
  </si>
  <si>
    <t>czongo@boaburkinafaso.com</t>
  </si>
  <si>
    <t>idrabo@boaburkinafaso.com</t>
  </si>
  <si>
    <t>BF0170</t>
  </si>
  <si>
    <t>LD</t>
  </si>
  <si>
    <t>BF0154</t>
  </si>
  <si>
    <t>ZM</t>
  </si>
  <si>
    <t>BF0057</t>
  </si>
  <si>
    <t>MJ</t>
  </si>
  <si>
    <t>bcoulibaly@boaburkinafaso.com</t>
  </si>
  <si>
    <t>BF0122</t>
  </si>
  <si>
    <t>A6</t>
  </si>
  <si>
    <t>BF0083</t>
  </si>
  <si>
    <t>PV</t>
  </si>
  <si>
    <t>bzongo@boaburkinafaso.com</t>
  </si>
  <si>
    <t>BF0070</t>
  </si>
  <si>
    <t>JP</t>
  </si>
  <si>
    <t>ayameogo@boaburkinafaso.com</t>
  </si>
  <si>
    <t>BF0238</t>
  </si>
  <si>
    <t>KG</t>
  </si>
  <si>
    <t>CL</t>
  </si>
  <si>
    <t>BF0169A</t>
  </si>
  <si>
    <t>BF0249</t>
  </si>
  <si>
    <t>NN</t>
  </si>
  <si>
    <t>BF0141</t>
  </si>
  <si>
    <t>BL</t>
  </si>
  <si>
    <t>fajanohoun@boaburkinafaso.com</t>
  </si>
  <si>
    <t>PF</t>
  </si>
  <si>
    <t>Madame Elfried TOE</t>
  </si>
  <si>
    <t>etoe@boaburkinafaso.com</t>
  </si>
  <si>
    <t>BF0025</t>
  </si>
  <si>
    <t>BF0061</t>
  </si>
  <si>
    <t>JK</t>
  </si>
  <si>
    <t>Monsieur OUEDRAOGO Basile</t>
  </si>
  <si>
    <t>bouedraogo@boaburkinafaso.com</t>
  </si>
  <si>
    <t>OM</t>
  </si>
  <si>
    <t>BF0205A</t>
  </si>
  <si>
    <t>BF0093</t>
  </si>
  <si>
    <t>K2</t>
  </si>
  <si>
    <t>adiane@boaburkinafaso.com</t>
  </si>
  <si>
    <t>Monsieur DIANE Abdramane</t>
  </si>
  <si>
    <t>BF0181</t>
  </si>
  <si>
    <t>LT</t>
  </si>
  <si>
    <t>Monsieur ILBOUDO N. J. Benjamin</t>
  </si>
  <si>
    <t>bilboudo@boaburkinafaso.com</t>
  </si>
  <si>
    <t>HC</t>
  </si>
  <si>
    <t>Monsieur KONATE Ali</t>
  </si>
  <si>
    <t>akonate@boaburkinafaso.com</t>
  </si>
  <si>
    <t>BF0011</t>
  </si>
  <si>
    <t>INT4</t>
  </si>
  <si>
    <t>I4</t>
  </si>
  <si>
    <t>LR</t>
  </si>
  <si>
    <t>BF0179</t>
  </si>
  <si>
    <t>Monsieur SIDIBE Stéphane</t>
  </si>
  <si>
    <t>Monsieur BAKONE N. Roland</t>
  </si>
  <si>
    <t>Monsieur ZONGO L. K. Christian</t>
  </si>
  <si>
    <t>Monsieur DRABO IBRAHIMA ROCK</t>
  </si>
  <si>
    <t>Monsieur COULIBALY Brahima</t>
  </si>
  <si>
    <t>Monsieur YAMEOGO Antoine</t>
  </si>
  <si>
    <t>Monsieur ZONGO Barthelemy</t>
  </si>
  <si>
    <t xml:space="preserve">Mademoiselle AJANOHOUN A. Farrah </t>
  </si>
  <si>
    <t>Mademoiselle  SOALLA Marie Isabelle</t>
  </si>
  <si>
    <t>JT</t>
  </si>
  <si>
    <t>eki@boaburkinafaso.com</t>
  </si>
  <si>
    <t>rsangli@boaburkinafaso.com</t>
  </si>
  <si>
    <t>COMPTE EPARGNE MINEUR</t>
  </si>
  <si>
    <t>BF0052</t>
  </si>
  <si>
    <t>BF0139</t>
  </si>
  <si>
    <t>JI</t>
  </si>
  <si>
    <t>B7</t>
  </si>
  <si>
    <t>L1</t>
  </si>
  <si>
    <t>BF0174A</t>
  </si>
  <si>
    <t>Monsieur BASSONON Marc</t>
  </si>
  <si>
    <t>mbassonon@boaburkinafaso.com</t>
  </si>
  <si>
    <t>CONTACTS</t>
  </si>
  <si>
    <t>DOYE Jean Marie</t>
  </si>
  <si>
    <t>LALSAGA Fatou</t>
  </si>
  <si>
    <t>SANKARA Mariam</t>
  </si>
  <si>
    <t>DAMBINA Gilles</t>
  </si>
  <si>
    <t>OUEDRAOGO Habibou</t>
  </si>
  <si>
    <t>BATIONO Natacha</t>
  </si>
  <si>
    <t>BAMBARA Sindy</t>
  </si>
  <si>
    <t>TANGARA Aminata</t>
  </si>
  <si>
    <t>OUEDRAOGO Roselyne</t>
  </si>
  <si>
    <t>BARRY Aïcha</t>
  </si>
  <si>
    <t>SOALLA Marie isabelle</t>
  </si>
  <si>
    <t>BAMBARA Thierry</t>
  </si>
  <si>
    <t>THIOMBIANO Djibril</t>
  </si>
  <si>
    <t>MINOUNGOU Théophile</t>
  </si>
  <si>
    <t>NIKIEMA Philippe</t>
  </si>
  <si>
    <t>DIALLO Abdoulaye</t>
  </si>
  <si>
    <t>MAIGA Fatoumata</t>
  </si>
  <si>
    <t>KERE Jacqueline</t>
  </si>
  <si>
    <t>YAMEOGO Patrick</t>
  </si>
  <si>
    <t>ZOMA Benoît</t>
  </si>
  <si>
    <t>SAWADOGO Stéphanie</t>
  </si>
  <si>
    <t>DIAWARA Massaran</t>
  </si>
  <si>
    <t>ZOMA Sylvie</t>
  </si>
  <si>
    <t>OUEDRAOGO Cathérine</t>
  </si>
  <si>
    <t>SANOGO Issiaka</t>
  </si>
  <si>
    <t>KABORE Sandrine</t>
  </si>
  <si>
    <t>HIEN Evelyne</t>
  </si>
  <si>
    <t>DRABO Ibrahima Rock</t>
  </si>
  <si>
    <t>SANOU Awa</t>
  </si>
  <si>
    <t>ROUAMBA Gisèle</t>
  </si>
  <si>
    <t>KAFANDOG Aminata</t>
  </si>
  <si>
    <t>COULIBALY Brahima</t>
  </si>
  <si>
    <t>YAMEOGO Antoine</t>
  </si>
  <si>
    <t>ZONGO T Barthélémie</t>
  </si>
  <si>
    <t>BARRO Hassane</t>
  </si>
  <si>
    <t>KAMISSOGO Mohamed Ali</t>
  </si>
  <si>
    <t>AJANOHOUN Audrey Farrah</t>
  </si>
  <si>
    <t>ZOROME Cheick</t>
  </si>
  <si>
    <t>SEREME Oumou Elfried</t>
  </si>
  <si>
    <t>OUEDRAOGO Basile</t>
  </si>
  <si>
    <t>BENAO Mohamed</t>
  </si>
  <si>
    <t>DIANE Abdramane</t>
  </si>
  <si>
    <t>ILBOUDO N  Joseph Benjamin</t>
  </si>
  <si>
    <t>KONATE Ali</t>
  </si>
  <si>
    <t>ILBOUDO Paliwinde</t>
  </si>
  <si>
    <t>BELEMLILGA Marina</t>
  </si>
  <si>
    <t>BASSONON Marc robert</t>
  </si>
  <si>
    <t>ZOMBRE K. Gabriel</t>
  </si>
  <si>
    <t>OUEDRAOGO Olivier</t>
  </si>
  <si>
    <t>NOM &amp; PRENOM AGENTS</t>
  </si>
  <si>
    <t>COMPTE AVEC PROCURATION</t>
  </si>
  <si>
    <t>PROCURATION SUR ANCIEN COMPTE</t>
  </si>
  <si>
    <t>PLAN EPARGNE AMBITION</t>
  </si>
  <si>
    <t>GESTION FORMAT DATE MANDATAIRE</t>
  </si>
  <si>
    <t>BF0104</t>
  </si>
  <si>
    <t>BF0097</t>
  </si>
  <si>
    <t>5K</t>
  </si>
  <si>
    <t>ZONGO ChRISTIAN</t>
  </si>
  <si>
    <t>DJIRE KADIDIA</t>
  </si>
  <si>
    <t>CUISINE</t>
  </si>
  <si>
    <t>BF0251</t>
  </si>
  <si>
    <t>BF0178</t>
  </si>
  <si>
    <t>COMPTE VP</t>
  </si>
  <si>
    <t>N° COMPTE CHEQUE</t>
  </si>
  <si>
    <t>N° COMPTE EPARGNE MINEUR</t>
  </si>
  <si>
    <t>RESP SOLDE</t>
  </si>
  <si>
    <t>Madame la Directrice de la Solde</t>
  </si>
  <si>
    <t>Monsieur le Directeur régional du Houet</t>
  </si>
  <si>
    <t>Mariam COMPAORE/OUEDRAOGO</t>
  </si>
  <si>
    <t>Madame la Directrice Régionale du Budget du Sud-Ouest</t>
  </si>
  <si>
    <t>Direct solde</t>
  </si>
  <si>
    <t>Monsieur le Directeur régional du Budget du Centre ouest</t>
  </si>
  <si>
    <t>HANSEBANE SON</t>
  </si>
  <si>
    <t>Souleymane KONE</t>
  </si>
  <si>
    <t>Madame la Directrice Régionale du Budget du Houet</t>
  </si>
  <si>
    <t>Michel PARE</t>
  </si>
  <si>
    <t>Madame la Directrice Régionale du Budget de la Boucle du Mouhoun</t>
  </si>
  <si>
    <t>TYPE DE COMPTE DÉJÀ OUVERT</t>
  </si>
  <si>
    <t>ANCIEN COMPTE DÉJÀ OUVERT ET PRODUITS MONETIQUE SOUHAITE</t>
  </si>
  <si>
    <t>ANCIEN COMPTE DÉJÀ OUVERT ET PRODUITS MONETIQUE COMPLEMENTAIRE</t>
  </si>
  <si>
    <t>TYPE DE COMPTE DÉJÀ OUVERT ET PRODUIT MONETIQUE SOUHAITE</t>
  </si>
  <si>
    <t>PRODUITS MONETIQUES SOUHAITES</t>
  </si>
  <si>
    <t>N° COMPTE EPARGNE</t>
  </si>
  <si>
    <t>N° COMPTE PACK BUSINESS</t>
  </si>
  <si>
    <t>N° COMPTE CHEQUE/EPARGNE</t>
  </si>
  <si>
    <t>J1</t>
  </si>
  <si>
    <t>Monsieur SIMPORE Joël</t>
  </si>
  <si>
    <t>jsimpore@boaburkinafaso.com</t>
  </si>
  <si>
    <t>BF0059</t>
  </si>
  <si>
    <t>BF0081</t>
  </si>
  <si>
    <t>OUEDRAOGO THIERRY</t>
  </si>
  <si>
    <t>KINDO/ZERBO Sita</t>
  </si>
  <si>
    <t>SIMPORE Joël</t>
  </si>
  <si>
    <t>REF</t>
  </si>
  <si>
    <t>DONNE</t>
  </si>
  <si>
    <t>DONNE!B46</t>
  </si>
  <si>
    <t>DONNE!B48</t>
  </si>
  <si>
    <t>DONNE!d13</t>
  </si>
  <si>
    <t>GESTION MANQUANTS, CHQ ET VP</t>
  </si>
  <si>
    <t>GESTION SOLDE</t>
  </si>
  <si>
    <t>DAHANI Mahama</t>
  </si>
  <si>
    <t>CHASSE</t>
  </si>
  <si>
    <t>MR</t>
  </si>
  <si>
    <t>France</t>
  </si>
  <si>
    <t>PAYS-BAS</t>
  </si>
  <si>
    <t>ALLEMAGNE</t>
  </si>
  <si>
    <t>ITALIE</t>
  </si>
  <si>
    <t>ROYAUME-UNI</t>
  </si>
  <si>
    <t>IRLANDE</t>
  </si>
  <si>
    <t>DANEMARK</t>
  </si>
  <si>
    <t>GRECE</t>
  </si>
  <si>
    <t>PORTUGAL</t>
  </si>
  <si>
    <t>ESPAGNE</t>
  </si>
  <si>
    <t>BELGIQUE</t>
  </si>
  <si>
    <t>ISLANDE</t>
  </si>
  <si>
    <t>ILES FEROE</t>
  </si>
  <si>
    <t>NORVEGE</t>
  </si>
  <si>
    <t>SUEDE</t>
  </si>
  <si>
    <t>FINLANDE</t>
  </si>
  <si>
    <t>LIECHTENSTEIN</t>
  </si>
  <si>
    <t>AUTRICHE</t>
  </si>
  <si>
    <t>SUISSE</t>
  </si>
  <si>
    <t>ANDORRE</t>
  </si>
  <si>
    <t>GIBRALTAR</t>
  </si>
  <si>
    <t>VATICAN (CITE DU)</t>
  </si>
  <si>
    <t>MALTE</t>
  </si>
  <si>
    <t>YOUGOSLAVIE</t>
  </si>
  <si>
    <t>TURQUIE</t>
  </si>
  <si>
    <t>LETTONIE</t>
  </si>
  <si>
    <t>UNION SOVIETIQUE</t>
  </si>
  <si>
    <t>POLOGNE</t>
  </si>
  <si>
    <t>TCHEQUE (REP.)</t>
  </si>
  <si>
    <t>HONGRIE</t>
  </si>
  <si>
    <t>ROUMANIE</t>
  </si>
  <si>
    <t>BULGARIE</t>
  </si>
  <si>
    <t>ALBANIE</t>
  </si>
  <si>
    <t>UKRAINE</t>
  </si>
  <si>
    <t>BELARUS</t>
  </si>
  <si>
    <t>RUSSIE</t>
  </si>
  <si>
    <t>GEORGIE</t>
  </si>
  <si>
    <t>ARMENIE</t>
  </si>
  <si>
    <t>AZERBAIDJAN</t>
  </si>
  <si>
    <t>SLOVENIE</t>
  </si>
  <si>
    <t>CROATIE</t>
  </si>
  <si>
    <t>BOSNIE-HERZEGOVINE</t>
  </si>
  <si>
    <t>ILES CANARIES</t>
  </si>
  <si>
    <t>MAROC</t>
  </si>
  <si>
    <t>CEUTA ET MELILLA</t>
  </si>
  <si>
    <t>ALGERIE</t>
  </si>
  <si>
    <t>TUNISIE</t>
  </si>
  <si>
    <t>LIBYE</t>
  </si>
  <si>
    <t>EGYPTE</t>
  </si>
  <si>
    <t>SOUDAN</t>
  </si>
  <si>
    <t>MAURITANIE</t>
  </si>
  <si>
    <t>MALI</t>
  </si>
  <si>
    <t>NIGER</t>
  </si>
  <si>
    <t>TCHAD</t>
  </si>
  <si>
    <t>Rep du CAP VERT</t>
  </si>
  <si>
    <t>SENEGAL</t>
  </si>
  <si>
    <t>GAMBIE</t>
  </si>
  <si>
    <t>GUINEE-BISSAU</t>
  </si>
  <si>
    <t>GUINEE</t>
  </si>
  <si>
    <t>SIERRA LEONE</t>
  </si>
  <si>
    <t>LIBERIA</t>
  </si>
  <si>
    <t>COTE D'IVOIRE</t>
  </si>
  <si>
    <t>GHANA</t>
  </si>
  <si>
    <t>TOGO</t>
  </si>
  <si>
    <t>BENIN</t>
  </si>
  <si>
    <t>NIGERIA</t>
  </si>
  <si>
    <t>CAMEROUN</t>
  </si>
  <si>
    <t>CENTRAFRIQUE</t>
  </si>
  <si>
    <t>GUINEE EQUATORIALE</t>
  </si>
  <si>
    <t>SAO TOME ET PRINCIPE</t>
  </si>
  <si>
    <t>GABON</t>
  </si>
  <si>
    <t>CONGO DEMOCRATIQUE</t>
  </si>
  <si>
    <t>RWANDA</t>
  </si>
  <si>
    <t>BURUNDI</t>
  </si>
  <si>
    <t>ST HELENE ET DEPEND.</t>
  </si>
  <si>
    <t>ANGOLA</t>
  </si>
  <si>
    <t>ETHIOPIE</t>
  </si>
  <si>
    <t>ERYTHREE</t>
  </si>
  <si>
    <t>DJIBOUTI</t>
  </si>
  <si>
    <t>SOMALIE</t>
  </si>
  <si>
    <t>KENYA</t>
  </si>
  <si>
    <t>OUGANDA</t>
  </si>
  <si>
    <t>TANZANIE</t>
  </si>
  <si>
    <t>SEYCHELLES</t>
  </si>
  <si>
    <t>TERR BRIT OCEAN IND.</t>
  </si>
  <si>
    <t>MOZAMBIQUE</t>
  </si>
  <si>
    <t>MADAGASCAR</t>
  </si>
  <si>
    <t>REUNION</t>
  </si>
  <si>
    <t>MAURICE (ILE)</t>
  </si>
  <si>
    <t>COMORES</t>
  </si>
  <si>
    <t>MAYOTTE</t>
  </si>
  <si>
    <t>ZAMBIE</t>
  </si>
  <si>
    <t>MALAWI</t>
  </si>
  <si>
    <t>AFRIQUE DU SUD</t>
  </si>
  <si>
    <t>BOTSWANA</t>
  </si>
  <si>
    <t>SWAZILAND</t>
  </si>
  <si>
    <t>LESOTHO</t>
  </si>
  <si>
    <t>ETATS-UNIS AMERIQUE</t>
  </si>
  <si>
    <t>CANADA</t>
  </si>
  <si>
    <t>GROENLAND</t>
  </si>
  <si>
    <t>ST PIERRE &amp; MIQUELON</t>
  </si>
  <si>
    <t>MEXIQUE</t>
  </si>
  <si>
    <t>BERMUDES</t>
  </si>
  <si>
    <t>GUATEMALA</t>
  </si>
  <si>
    <t>BELIZE</t>
  </si>
  <si>
    <t>HONDURAS</t>
  </si>
  <si>
    <t>EL SALVADOR</t>
  </si>
  <si>
    <t>NICARAGUA</t>
  </si>
  <si>
    <t>COSTA RICA</t>
  </si>
  <si>
    <t>PANAMA</t>
  </si>
  <si>
    <t>ZONE CANAL PANAMA</t>
  </si>
  <si>
    <t>CUBA</t>
  </si>
  <si>
    <t>HAITI</t>
  </si>
  <si>
    <t>BAHAMAS</t>
  </si>
  <si>
    <t>ILES TURKS ET CAICOS</t>
  </si>
  <si>
    <t>REP DOMINICAINE</t>
  </si>
  <si>
    <t>ILES VIERGES (US)</t>
  </si>
  <si>
    <t>GUADELOUPE</t>
  </si>
  <si>
    <t>MARTINIQUE</t>
  </si>
  <si>
    <t>ILES CAIMAN</t>
  </si>
  <si>
    <t>JAMAIQUE</t>
  </si>
  <si>
    <t>SAINTE LUCIE</t>
  </si>
  <si>
    <t>LA BARBADE</t>
  </si>
  <si>
    <t>TRINIDAD &amp; TOBAGO</t>
  </si>
  <si>
    <t>GRENADE</t>
  </si>
  <si>
    <t>ANTILLES NEERLAND.</t>
  </si>
  <si>
    <t>COLOMBIE</t>
  </si>
  <si>
    <t>VENEZUELA</t>
  </si>
  <si>
    <t>GUYANA</t>
  </si>
  <si>
    <t>GUYANE FRANCAISE</t>
  </si>
  <si>
    <t>EQUATEUR</t>
  </si>
  <si>
    <t>PEROU</t>
  </si>
  <si>
    <t>BRESIL</t>
  </si>
  <si>
    <t>CHILI</t>
  </si>
  <si>
    <t>BOLIVIE</t>
  </si>
  <si>
    <t>PARAGUAY</t>
  </si>
  <si>
    <t>URUGUAY</t>
  </si>
  <si>
    <t>ARGENTINE</t>
  </si>
  <si>
    <t>ILES FALKLAND &amp; DPD.</t>
  </si>
  <si>
    <t>CHYPRE</t>
  </si>
  <si>
    <t>LIBAN</t>
  </si>
  <si>
    <t>SYRIE</t>
  </si>
  <si>
    <t>IRAK</t>
  </si>
  <si>
    <t>IRAN</t>
  </si>
  <si>
    <t>ISRAEL</t>
  </si>
  <si>
    <t>JORDANIE</t>
  </si>
  <si>
    <t>ARABIE SAOUDITE</t>
  </si>
  <si>
    <t>KOWEIT</t>
  </si>
  <si>
    <t>BAHREIN</t>
  </si>
  <si>
    <t>QATAR</t>
  </si>
  <si>
    <t>EMIRATS ARABES UNIS</t>
  </si>
  <si>
    <t>OMAN</t>
  </si>
  <si>
    <t>YEMEN DU NORD</t>
  </si>
  <si>
    <t>YEMEN DU SUD</t>
  </si>
  <si>
    <t>AFGHANISTAN</t>
  </si>
  <si>
    <t>PAKISTAN</t>
  </si>
  <si>
    <t>BANGLADESH</t>
  </si>
  <si>
    <t>MALDIVES</t>
  </si>
  <si>
    <t>SRI LANKA</t>
  </si>
  <si>
    <t>NEPAL</t>
  </si>
  <si>
    <t>BHOUTHAN</t>
  </si>
  <si>
    <t>BIRMANIE</t>
  </si>
  <si>
    <t>THAILANDE</t>
  </si>
  <si>
    <t>LAOS</t>
  </si>
  <si>
    <t>VIETNAM</t>
  </si>
  <si>
    <t>CAMBODGE</t>
  </si>
  <si>
    <t>INDONESIE</t>
  </si>
  <si>
    <t>MALAISIE</t>
  </si>
  <si>
    <t>BRUNEI</t>
  </si>
  <si>
    <t>SINGAPOUR</t>
  </si>
  <si>
    <t>PHILIPPINES</t>
  </si>
  <si>
    <t>MONGOLIE</t>
  </si>
  <si>
    <t>CHINE</t>
  </si>
  <si>
    <t>COREE DU NORD</t>
  </si>
  <si>
    <t>COREE DU SUD</t>
  </si>
  <si>
    <t>JAPON</t>
  </si>
  <si>
    <t>TAIWAN</t>
  </si>
  <si>
    <t>HONG-KONG</t>
  </si>
  <si>
    <t>MACAO</t>
  </si>
  <si>
    <t>AUSTRALIE</t>
  </si>
  <si>
    <t>PAPOUASIE-NVEL GUINE</t>
  </si>
  <si>
    <t>OCEANIE AUSTRALIENNE</t>
  </si>
  <si>
    <t>NAURU</t>
  </si>
  <si>
    <t>NOUVELLE-ZELANDE</t>
  </si>
  <si>
    <t>NV CALEDONIE &amp; DPD</t>
  </si>
  <si>
    <t>OCEANIE AMERICAINE</t>
  </si>
  <si>
    <t>ILES WALLIS &amp; FUTUNA</t>
  </si>
  <si>
    <t>OCEANIE BRITANIQUE</t>
  </si>
  <si>
    <t>OCEANIE NEO-ZELAND.</t>
  </si>
  <si>
    <t>NVL HEBRIDES VANUATU</t>
  </si>
  <si>
    <t>TONGA</t>
  </si>
  <si>
    <t>SAMOA OCCIDENTALE</t>
  </si>
  <si>
    <t>POLYNESIE FRANCAISE</t>
  </si>
  <si>
    <t>REGIONS POLAIRES</t>
  </si>
  <si>
    <t>PAYS NON DETERMINES</t>
  </si>
  <si>
    <t>TERRITOIRES NON PREC</t>
  </si>
  <si>
    <t>001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</si>
  <si>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</si>
  <si>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</si>
  <si>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</si>
  <si>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</si>
  <si>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</si>
  <si>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</si>
  <si>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</si>
  <si>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</si>
  <si>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</si>
  <si>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019</t>
  </si>
  <si>
    <t>024</t>
  </si>
  <si>
    <t>025</t>
  </si>
  <si>
    <t>028</t>
  </si>
  <si>
    <t>030</t>
  </si>
  <si>
    <t>032</t>
  </si>
  <si>
    <t>037</t>
  </si>
  <si>
    <t>038</t>
  </si>
  <si>
    <t>039</t>
  </si>
  <si>
    <t>043</t>
  </si>
  <si>
    <t>044</t>
  </si>
  <si>
    <t>045</t>
  </si>
  <si>
    <t>046</t>
  </si>
  <si>
    <t>048</t>
  </si>
  <si>
    <t>052</t>
  </si>
  <si>
    <t>054</t>
  </si>
  <si>
    <t>056</t>
  </si>
  <si>
    <t>060</t>
  </si>
  <si>
    <t>061</t>
  </si>
  <si>
    <t>064</t>
  </si>
  <si>
    <t>066</t>
  </si>
  <si>
    <t>068</t>
  </si>
  <si>
    <t>070</t>
  </si>
  <si>
    <t>072</t>
  </si>
  <si>
    <t>073</t>
  </si>
  <si>
    <t>075</t>
  </si>
  <si>
    <t>076</t>
  </si>
  <si>
    <t>077</t>
  </si>
  <si>
    <t>078</t>
  </si>
  <si>
    <t>091</t>
  </si>
  <si>
    <t>092</t>
  </si>
  <si>
    <t>093</t>
  </si>
  <si>
    <t>202</t>
  </si>
  <si>
    <t>204</t>
  </si>
  <si>
    <t>205</t>
  </si>
  <si>
    <t>208</t>
  </si>
  <si>
    <t>212</t>
  </si>
  <si>
    <t>216</t>
  </si>
  <si>
    <t>220</t>
  </si>
  <si>
    <t>224</t>
  </si>
  <si>
    <t>228</t>
  </si>
  <si>
    <t>232</t>
  </si>
  <si>
    <t>236</t>
  </si>
  <si>
    <t>240</t>
  </si>
  <si>
    <t>244</t>
  </si>
  <si>
    <t>247</t>
  </si>
  <si>
    <t>248</t>
  </si>
  <si>
    <t>257</t>
  </si>
  <si>
    <t>260</t>
  </si>
  <si>
    <t>264</t>
  </si>
  <si>
    <t>268</t>
  </si>
  <si>
    <t>272</t>
  </si>
  <si>
    <t>276</t>
  </si>
  <si>
    <t>280</t>
  </si>
  <si>
    <t>284</t>
  </si>
  <si>
    <t>288</t>
  </si>
  <si>
    <t>302</t>
  </si>
  <si>
    <t>306</t>
  </si>
  <si>
    <t>310</t>
  </si>
  <si>
    <t>311</t>
  </si>
  <si>
    <t>314</t>
  </si>
  <si>
    <t>318</t>
  </si>
  <si>
    <t>322</t>
  </si>
  <si>
    <t>324</t>
  </si>
  <si>
    <t>328</t>
  </si>
  <si>
    <t>329</t>
  </si>
  <si>
    <t>330</t>
  </si>
  <si>
    <t>334</t>
  </si>
  <si>
    <t>336</t>
  </si>
  <si>
    <t>338</t>
  </si>
  <si>
    <t>342</t>
  </si>
  <si>
    <t>346</t>
  </si>
  <si>
    <t>350</t>
  </si>
  <si>
    <t>352</t>
  </si>
  <si>
    <t>355</t>
  </si>
  <si>
    <t>357</t>
  </si>
  <si>
    <t>366</t>
  </si>
  <si>
    <t>370</t>
  </si>
  <si>
    <t>372</t>
  </si>
  <si>
    <t>373</t>
  </si>
  <si>
    <t>375</t>
  </si>
  <si>
    <t>377</t>
  </si>
  <si>
    <t>378</t>
  </si>
  <si>
    <t>388</t>
  </si>
  <si>
    <t>391</t>
  </si>
  <si>
    <t>393</t>
  </si>
  <si>
    <t>395</t>
  </si>
  <si>
    <t>400</t>
  </si>
  <si>
    <t>404</t>
  </si>
  <si>
    <t>406</t>
  </si>
  <si>
    <t>408</t>
  </si>
  <si>
    <t>412</t>
  </si>
  <si>
    <t>413</t>
  </si>
  <si>
    <t>416</t>
  </si>
  <si>
    <t>421</t>
  </si>
  <si>
    <t>424</t>
  </si>
  <si>
    <t>428</t>
  </si>
  <si>
    <t>432</t>
  </si>
  <si>
    <t>436</t>
  </si>
  <si>
    <t>442</t>
  </si>
  <si>
    <t>444</t>
  </si>
  <si>
    <t>452</t>
  </si>
  <si>
    <t>453</t>
  </si>
  <si>
    <t>454</t>
  </si>
  <si>
    <t>456</t>
  </si>
  <si>
    <t>457</t>
  </si>
  <si>
    <t>458</t>
  </si>
  <si>
    <t>462</t>
  </si>
  <si>
    <t>463</t>
  </si>
  <si>
    <t>464</t>
  </si>
  <si>
    <t>465</t>
  </si>
  <si>
    <t>469</t>
  </si>
  <si>
    <t>471</t>
  </si>
  <si>
    <t>472</t>
  </si>
  <si>
    <t>473</t>
  </si>
  <si>
    <t>478</t>
  </si>
  <si>
    <t>480</t>
  </si>
  <si>
    <t>484</t>
  </si>
  <si>
    <t>488</t>
  </si>
  <si>
    <t>492</t>
  </si>
  <si>
    <t>496</t>
  </si>
  <si>
    <t>500</t>
  </si>
  <si>
    <t>504</t>
  </si>
  <si>
    <t>508</t>
  </si>
  <si>
    <t>512</t>
  </si>
  <si>
    <t>516</t>
  </si>
  <si>
    <t>520</t>
  </si>
  <si>
    <t>524</t>
  </si>
  <si>
    <t>528</t>
  </si>
  <si>
    <t>529</t>
  </si>
  <si>
    <t>600</t>
  </si>
  <si>
    <t>604</t>
  </si>
  <si>
    <t>608</t>
  </si>
  <si>
    <t>612</t>
  </si>
  <si>
    <t>616</t>
  </si>
  <si>
    <t>624</t>
  </si>
  <si>
    <t>628</t>
  </si>
  <si>
    <t>632</t>
  </si>
  <si>
    <t>636</t>
  </si>
  <si>
    <t>640</t>
  </si>
  <si>
    <t>644</t>
  </si>
  <si>
    <t>647</t>
  </si>
  <si>
    <t>649</t>
  </si>
  <si>
    <t>653</t>
  </si>
  <si>
    <t>656</t>
  </si>
  <si>
    <t>660</t>
  </si>
  <si>
    <t>662</t>
  </si>
  <si>
    <t>664</t>
  </si>
  <si>
    <t>666</t>
  </si>
  <si>
    <t>667</t>
  </si>
  <si>
    <t>669</t>
  </si>
  <si>
    <t>672</t>
  </si>
  <si>
    <t>675</t>
  </si>
  <si>
    <t>676</t>
  </si>
  <si>
    <t>680</t>
  </si>
  <si>
    <t>684</t>
  </si>
  <si>
    <t>690</t>
  </si>
  <si>
    <t>696</t>
  </si>
  <si>
    <t>700</t>
  </si>
  <si>
    <t>701</t>
  </si>
  <si>
    <t>703</t>
  </si>
  <si>
    <t>706</t>
  </si>
  <si>
    <t>708</t>
  </si>
  <si>
    <t>716</t>
  </si>
  <si>
    <t>720</t>
  </si>
  <si>
    <t>724</t>
  </si>
  <si>
    <t>728</t>
  </si>
  <si>
    <t>732</t>
  </si>
  <si>
    <t>736</t>
  </si>
  <si>
    <t>740</t>
  </si>
  <si>
    <t>743</t>
  </si>
  <si>
    <t>800</t>
  </si>
  <si>
    <t>801</t>
  </si>
  <si>
    <t>802</t>
  </si>
  <si>
    <t>803</t>
  </si>
  <si>
    <t>804</t>
  </si>
  <si>
    <t>809</t>
  </si>
  <si>
    <t>810</t>
  </si>
  <si>
    <t>811</t>
  </si>
  <si>
    <t>812</t>
  </si>
  <si>
    <t>814</t>
  </si>
  <si>
    <t>816</t>
  </si>
  <si>
    <t>817</t>
  </si>
  <si>
    <t>819</t>
  </si>
  <si>
    <t>822</t>
  </si>
  <si>
    <t>890</t>
  </si>
  <si>
    <t>958</t>
  </si>
  <si>
    <t>977</t>
  </si>
  <si>
    <t>FR</t>
  </si>
  <si>
    <t>JO</t>
  </si>
  <si>
    <t>KH</t>
  </si>
  <si>
    <t>KM</t>
  </si>
  <si>
    <t>KP</t>
  </si>
  <si>
    <t>KR</t>
  </si>
  <si>
    <t>KW</t>
  </si>
  <si>
    <t>LA</t>
  </si>
  <si>
    <t>LI</t>
  </si>
  <si>
    <t>LS</t>
  </si>
  <si>
    <t>LV</t>
  </si>
  <si>
    <t>LY</t>
  </si>
  <si>
    <t>MA</t>
  </si>
  <si>
    <t>MG</t>
  </si>
  <si>
    <t>ML</t>
  </si>
  <si>
    <t>MN</t>
  </si>
  <si>
    <t>MO</t>
  </si>
  <si>
    <t>MQ</t>
  </si>
  <si>
    <t>MT</t>
  </si>
  <si>
    <t>MU</t>
  </si>
  <si>
    <t>MV</t>
  </si>
  <si>
    <t>MW</t>
  </si>
  <si>
    <t>MX</t>
  </si>
  <si>
    <t>MY</t>
  </si>
  <si>
    <t>MZ</t>
  </si>
  <si>
    <t>NE</t>
  </si>
  <si>
    <t>NI</t>
  </si>
  <si>
    <t>NO</t>
  </si>
  <si>
    <t>NP</t>
  </si>
  <si>
    <t>NR</t>
  </si>
  <si>
    <t>NZ</t>
  </si>
  <si>
    <t>PB</t>
  </si>
  <si>
    <t>PE</t>
  </si>
  <si>
    <t>PH</t>
  </si>
  <si>
    <t>PK</t>
  </si>
  <si>
    <t>PM</t>
  </si>
  <si>
    <t>PT</t>
  </si>
  <si>
    <t>PY</t>
  </si>
  <si>
    <t>QA</t>
  </si>
  <si>
    <t>RE</t>
  </si>
  <si>
    <t>RO</t>
  </si>
  <si>
    <t>RU</t>
  </si>
  <si>
    <t>RW</t>
  </si>
  <si>
    <t>SA</t>
  </si>
  <si>
    <t>SC</t>
  </si>
  <si>
    <t>SD</t>
  </si>
  <si>
    <t>SE</t>
  </si>
  <si>
    <t>SG</t>
  </si>
  <si>
    <t>SI</t>
  </si>
  <si>
    <t>SL</t>
  </si>
  <si>
    <t>SN</t>
  </si>
  <si>
    <t>SR</t>
  </si>
  <si>
    <t>ST</t>
  </si>
  <si>
    <t>SV</t>
  </si>
  <si>
    <t>SY</t>
  </si>
  <si>
    <t>SZ</t>
  </si>
  <si>
    <t>TC</t>
  </si>
  <si>
    <t>TG</t>
  </si>
  <si>
    <t>TN</t>
  </si>
  <si>
    <t>TO</t>
  </si>
  <si>
    <t>TR</t>
  </si>
  <si>
    <t>AD</t>
  </si>
  <si>
    <t>AE</t>
  </si>
  <si>
    <t>AF</t>
  </si>
  <si>
    <t>AL</t>
  </si>
  <si>
    <t>AM</t>
  </si>
  <si>
    <t>AO</t>
  </si>
  <si>
    <t>AQ</t>
  </si>
  <si>
    <t>AR</t>
  </si>
  <si>
    <t>AT</t>
  </si>
  <si>
    <t>AU</t>
  </si>
  <si>
    <t>AZ</t>
  </si>
  <si>
    <t>BA</t>
  </si>
  <si>
    <t>BD</t>
  </si>
  <si>
    <t>BF</t>
  </si>
  <si>
    <t>BG</t>
  </si>
  <si>
    <t>BI</t>
  </si>
  <si>
    <t>BN</t>
  </si>
  <si>
    <t>BO</t>
  </si>
  <si>
    <t>BR</t>
  </si>
  <si>
    <t>BT</t>
  </si>
  <si>
    <t>BU</t>
  </si>
  <si>
    <t>BW</t>
  </si>
  <si>
    <t>BY</t>
  </si>
  <si>
    <t>BZ</t>
  </si>
  <si>
    <t>CA</t>
  </si>
  <si>
    <t>CD</t>
  </si>
  <si>
    <t>CF</t>
  </si>
  <si>
    <t>CG</t>
  </si>
  <si>
    <t>CH</t>
  </si>
  <si>
    <t>CI</t>
  </si>
  <si>
    <t>CM</t>
  </si>
  <si>
    <t>CN</t>
  </si>
  <si>
    <t>CO</t>
  </si>
  <si>
    <t>CR</t>
  </si>
  <si>
    <t>CU</t>
  </si>
  <si>
    <t>CV</t>
  </si>
  <si>
    <t>CY</t>
  </si>
  <si>
    <t>DJ</t>
  </si>
  <si>
    <t>DK</t>
  </si>
  <si>
    <t>DZ</t>
  </si>
  <si>
    <t>EG</t>
  </si>
  <si>
    <t>ER</t>
  </si>
  <si>
    <t>ES</t>
  </si>
  <si>
    <t>ET</t>
  </si>
  <si>
    <t>FI</t>
  </si>
  <si>
    <t>FJ</t>
  </si>
  <si>
    <t>GA</t>
  </si>
  <si>
    <t>GB</t>
  </si>
  <si>
    <t>GD</t>
  </si>
  <si>
    <t>GE</t>
  </si>
  <si>
    <t>GH</t>
  </si>
  <si>
    <t>GI</t>
  </si>
  <si>
    <t>GL</t>
  </si>
  <si>
    <t>GM</t>
  </si>
  <si>
    <t>GN</t>
  </si>
  <si>
    <t>GP</t>
  </si>
  <si>
    <t>GQ</t>
  </si>
  <si>
    <t>GR</t>
  </si>
  <si>
    <t>GW</t>
  </si>
  <si>
    <t>GY</t>
  </si>
  <si>
    <t>HK</t>
  </si>
  <si>
    <t>HN</t>
  </si>
  <si>
    <t>HR</t>
  </si>
  <si>
    <t>HT</t>
  </si>
  <si>
    <t>HU</t>
  </si>
  <si>
    <t>ID</t>
  </si>
  <si>
    <t>IE</t>
  </si>
  <si>
    <t>IN</t>
  </si>
  <si>
    <t>IQ</t>
  </si>
  <si>
    <t>IT</t>
  </si>
  <si>
    <t>JM</t>
  </si>
  <si>
    <t>TT</t>
  </si>
  <si>
    <t>TW</t>
  </si>
  <si>
    <t>TZ</t>
  </si>
  <si>
    <t>UA</t>
  </si>
  <si>
    <t>UG</t>
  </si>
  <si>
    <t>US</t>
  </si>
  <si>
    <t>UY</t>
  </si>
  <si>
    <t>VA</t>
  </si>
  <si>
    <t>VE</t>
  </si>
  <si>
    <t>VN</t>
  </si>
  <si>
    <t>WS</t>
  </si>
  <si>
    <t>YE</t>
  </si>
  <si>
    <t>ZA</t>
  </si>
  <si>
    <t>YT</t>
  </si>
  <si>
    <t>YU</t>
  </si>
  <si>
    <t>ALLEMAND</t>
  </si>
  <si>
    <t>ITALIEN</t>
  </si>
  <si>
    <t>BRITANNIQUE</t>
  </si>
  <si>
    <t>IRLANDAIS</t>
  </si>
  <si>
    <t>DANOIS</t>
  </si>
  <si>
    <t>ESPAGNOL</t>
  </si>
  <si>
    <t>BELGE</t>
  </si>
  <si>
    <t>ISLANDAIS</t>
  </si>
  <si>
    <t>SUEDOIS</t>
  </si>
  <si>
    <t>FINLANDAIS</t>
  </si>
  <si>
    <t>AUTRICHIEN</t>
  </si>
  <si>
    <t>YOUGOSLAVE</t>
  </si>
  <si>
    <t>POLONAIS</t>
  </si>
  <si>
    <t>TCHEQUE</t>
  </si>
  <si>
    <t>HONGROIS</t>
  </si>
  <si>
    <t>ROUMANIEN</t>
  </si>
  <si>
    <t>ALBANAIS</t>
  </si>
  <si>
    <t>RUSSE</t>
  </si>
  <si>
    <t>GEORGIEN</t>
  </si>
  <si>
    <t>CROATE</t>
  </si>
  <si>
    <t>MAROCAIN</t>
  </si>
  <si>
    <t>ALGERIEN</t>
  </si>
  <si>
    <t>TUNISIEN</t>
  </si>
  <si>
    <t>LIBYEN</t>
  </si>
  <si>
    <t>EGYPTIEN</t>
  </si>
  <si>
    <t>SOUDANAIS</t>
  </si>
  <si>
    <t>MAURITANIEN</t>
  </si>
  <si>
    <t>MALIEN</t>
  </si>
  <si>
    <t>BURKINABE</t>
  </si>
  <si>
    <t>NIGERIEN</t>
  </si>
  <si>
    <t>TCHADIEN</t>
  </si>
  <si>
    <t>SENEGALAIS</t>
  </si>
  <si>
    <t>GAMBIEN</t>
  </si>
  <si>
    <t>GUINEEN</t>
  </si>
  <si>
    <t>SIERRA LEONAIS</t>
  </si>
  <si>
    <t>LIBERIEN</t>
  </si>
  <si>
    <t>IVOIRIEN</t>
  </si>
  <si>
    <t>GHANEEN</t>
  </si>
  <si>
    <t>TOGOLAIS</t>
  </si>
  <si>
    <t>BENINOIS</t>
  </si>
  <si>
    <t>NIGERIAN</t>
  </si>
  <si>
    <t>CAMEROUNAIS</t>
  </si>
  <si>
    <t>CENTRAFRICAIN</t>
  </si>
  <si>
    <t>GABONAIS</t>
  </si>
  <si>
    <t>CONGOLAIS</t>
  </si>
  <si>
    <t>RWANDAIS</t>
  </si>
  <si>
    <t>BURUNDAIS</t>
  </si>
  <si>
    <t>ANGOLAIS</t>
  </si>
  <si>
    <t>ETHIOPIEN</t>
  </si>
  <si>
    <t>ERYTHREEN</t>
  </si>
  <si>
    <t>DJIBOUTIEN</t>
  </si>
  <si>
    <t>SOMALIEN</t>
  </si>
  <si>
    <t>KENYEN</t>
  </si>
  <si>
    <t>OUGANDAIS</t>
  </si>
  <si>
    <t>TANZANIEN</t>
  </si>
  <si>
    <t>SEYCHELLOIS</t>
  </si>
  <si>
    <t>MOZAMBICAIN</t>
  </si>
  <si>
    <t>MALGACHE</t>
  </si>
  <si>
    <t>ZAMBIEN</t>
  </si>
  <si>
    <t>SUD AFRICAIN</t>
  </si>
  <si>
    <t>AMERICAIN</t>
  </si>
  <si>
    <t>CANADIEN</t>
  </si>
  <si>
    <t>MEXICAIN</t>
  </si>
  <si>
    <t>CUBAIN</t>
  </si>
  <si>
    <t>HAITIEN</t>
  </si>
  <si>
    <t>MARTINIQUAIS</t>
  </si>
  <si>
    <t>JAMAICAIN</t>
  </si>
  <si>
    <t>COLOMBIEN</t>
  </si>
  <si>
    <t>BRESILIEN</t>
  </si>
  <si>
    <t>CHILIEN</t>
  </si>
  <si>
    <t>BOLIVIEN</t>
  </si>
  <si>
    <t>ARGENTIN</t>
  </si>
  <si>
    <t>LIBANAIS</t>
  </si>
  <si>
    <t>SYRIEN</t>
  </si>
  <si>
    <t>IRAKAIS</t>
  </si>
  <si>
    <t>IRANNAIS</t>
  </si>
  <si>
    <t>ISRAELIEN</t>
  </si>
  <si>
    <t>SAOUDIEN</t>
  </si>
  <si>
    <t>QATARITE</t>
  </si>
  <si>
    <t>YEMINITE</t>
  </si>
  <si>
    <t>PAKISTANAIS</t>
  </si>
  <si>
    <t>INDIEN</t>
  </si>
  <si>
    <t>THAILANDAIS</t>
  </si>
  <si>
    <t>VIETNAMIEN</t>
  </si>
  <si>
    <t>INDONESIEN</t>
  </si>
  <si>
    <t>MONGOLIEN</t>
  </si>
  <si>
    <t>CHINOIS</t>
  </si>
  <si>
    <t>COREEN</t>
  </si>
  <si>
    <t>JAPONAIS</t>
  </si>
  <si>
    <t>TAIWANAIS</t>
  </si>
  <si>
    <t>AUSTRALIEN</t>
  </si>
  <si>
    <t>BAHAMEEN</t>
  </si>
  <si>
    <t>BANGLADAIS</t>
  </si>
  <si>
    <t>ARMENIEN</t>
  </si>
  <si>
    <t>BARBADIEN</t>
  </si>
  <si>
    <t>BIELORUSSE</t>
  </si>
  <si>
    <t>CAMBODGIEN</t>
  </si>
  <si>
    <t>CHYPRIOTE</t>
  </si>
  <si>
    <t>COMORIEN</t>
  </si>
  <si>
    <t>COMORIENNE</t>
  </si>
  <si>
    <t>CONGOLAISE</t>
  </si>
  <si>
    <t>CONGO-BRAZAVILLE</t>
  </si>
  <si>
    <t>COSTARICIEN</t>
  </si>
  <si>
    <t>COSTARICIENNE</t>
  </si>
  <si>
    <t>EQUATO GUINEEN</t>
  </si>
  <si>
    <t>EMIRATI</t>
  </si>
  <si>
    <t>EQUATORIEN</t>
  </si>
  <si>
    <t>EQUTORIENNE</t>
  </si>
  <si>
    <t>FIDJIEN</t>
  </si>
  <si>
    <t>GHANEENNE</t>
  </si>
  <si>
    <t>GREC</t>
  </si>
  <si>
    <t>GREQUE</t>
  </si>
  <si>
    <t>GRENADIN</t>
  </si>
  <si>
    <t>GRENADINE</t>
  </si>
  <si>
    <t>GUATEMALTEQUE</t>
  </si>
  <si>
    <t>BISSAU GUINEEN</t>
  </si>
  <si>
    <t>BISSAU GUINEENNE</t>
  </si>
  <si>
    <t>GUYANIEN</t>
  </si>
  <si>
    <t>GUYANIENNE</t>
  </si>
  <si>
    <t>HAITIENNE</t>
  </si>
  <si>
    <t>HONDURIEN</t>
  </si>
  <si>
    <t>HONDURIENNE</t>
  </si>
  <si>
    <t>INDIENNE</t>
  </si>
  <si>
    <t>KOWEITIEN</t>
  </si>
  <si>
    <t>KOWEITIENNE</t>
  </si>
  <si>
    <t>LETTON</t>
  </si>
  <si>
    <t>LETTONNE</t>
  </si>
  <si>
    <t>LESOTHAN</t>
  </si>
  <si>
    <t>LESOTHANE</t>
  </si>
  <si>
    <t>LIECHTENSTEINOIS</t>
  </si>
  <si>
    <t>MALAISIEN</t>
  </si>
  <si>
    <t>MALAISIENNE</t>
  </si>
  <si>
    <t>MALAWITE</t>
  </si>
  <si>
    <t>MALTAIS</t>
  </si>
  <si>
    <t>MALTAISE</t>
  </si>
  <si>
    <t>MAURICIEN</t>
  </si>
  <si>
    <t>MAURICIENNE</t>
  </si>
  <si>
    <t>NAURUAN</t>
  </si>
  <si>
    <t>NEPALAIS</t>
  </si>
  <si>
    <t>NEPALAISE</t>
  </si>
  <si>
    <t>NICARAGUAYEN</t>
  </si>
  <si>
    <t>NICARAGUAYENNE</t>
  </si>
  <si>
    <t>NORVEGIEN</t>
  </si>
  <si>
    <t>NORVEGIENNE</t>
  </si>
  <si>
    <t>NEO-ZELANDAIS</t>
  </si>
  <si>
    <t>NEO-ZELANDAISE</t>
  </si>
  <si>
    <t>OMANAIS</t>
  </si>
  <si>
    <t>OMANAISE</t>
  </si>
  <si>
    <t>PANAMEEN</t>
  </si>
  <si>
    <t>PANAMEENNE</t>
  </si>
  <si>
    <t>PARAGUAYEN</t>
  </si>
  <si>
    <t>PARAGUAYENNE</t>
  </si>
  <si>
    <t>NEERLANDAIS</t>
  </si>
  <si>
    <t>NEERLANDAISE</t>
  </si>
  <si>
    <t>PERUVIEN</t>
  </si>
  <si>
    <t>URUGUAYEN</t>
  </si>
  <si>
    <t>URUGUAYENNE</t>
  </si>
  <si>
    <t>PHILIPPIN</t>
  </si>
  <si>
    <t>UKRAINIEN</t>
  </si>
  <si>
    <t>UKRAINIENNIENNE</t>
  </si>
  <si>
    <t>TURC</t>
  </si>
  <si>
    <t>TURQUE</t>
  </si>
  <si>
    <t>JORDANIEN</t>
  </si>
  <si>
    <t>JORDANIENNE</t>
  </si>
  <si>
    <t>BAHREINIEN</t>
  </si>
  <si>
    <t>BAHREINIENNE</t>
  </si>
  <si>
    <t>SINGAPOURIEN</t>
  </si>
  <si>
    <t>SINGAPOURIENNE</t>
  </si>
  <si>
    <t>SRI LANKAIS</t>
  </si>
  <si>
    <t>SRI LANKAISE</t>
  </si>
  <si>
    <t>SANTOMEEN</t>
  </si>
  <si>
    <t>SANTOMEENNE</t>
  </si>
  <si>
    <t>SWAZI</t>
  </si>
  <si>
    <t>SWAZIE</t>
  </si>
  <si>
    <t>DJIBOUTIENNE</t>
  </si>
  <si>
    <t>CANARIEN</t>
  </si>
  <si>
    <t>CANARIENNE</t>
  </si>
  <si>
    <t>CEUTIEN</t>
  </si>
  <si>
    <t>REUNIONNAIS</t>
  </si>
  <si>
    <t>REUNIONNAISE</t>
  </si>
  <si>
    <t>MAHORAIS</t>
  </si>
  <si>
    <t>BELIZTEQUE</t>
  </si>
  <si>
    <t>BOLIVIENNE</t>
  </si>
  <si>
    <t>DOMINICAIN</t>
  </si>
  <si>
    <t>DOMINICAINE</t>
  </si>
  <si>
    <t>SURINAME</t>
  </si>
  <si>
    <t>SURINAMIEN</t>
  </si>
  <si>
    <t>SURINAMIENNE</t>
  </si>
  <si>
    <t>GUADELOUPEEN</t>
  </si>
  <si>
    <t>GUADELOUPEENNE</t>
  </si>
  <si>
    <t>BIRMAN</t>
  </si>
  <si>
    <t>BIRMANE</t>
  </si>
  <si>
    <t>DO</t>
  </si>
  <si>
    <t>TURKMENE</t>
  </si>
  <si>
    <t>TM</t>
  </si>
  <si>
    <t>VG</t>
  </si>
  <si>
    <t>KY</t>
  </si>
  <si>
    <t>SAINT LUCIEN</t>
  </si>
  <si>
    <t>SAINT LUCIENNE</t>
  </si>
  <si>
    <t>LC</t>
  </si>
  <si>
    <t>TONGIEN</t>
  </si>
  <si>
    <t>TONGIENNE</t>
  </si>
  <si>
    <t>HONGKONGAIS</t>
  </si>
  <si>
    <t>LAOTIEN</t>
  </si>
  <si>
    <t>BRUNEIEN</t>
  </si>
  <si>
    <t>BRUNEIENNE</t>
  </si>
  <si>
    <t>VATICAN</t>
  </si>
  <si>
    <t>VATICANE</t>
  </si>
  <si>
    <t>PAPOUASIEN-NEO-GUINEEN</t>
  </si>
  <si>
    <t>PAPOUASIENNE-NEO-GUINEENNE</t>
  </si>
  <si>
    <t>PG</t>
  </si>
  <si>
    <t>AZERBAIDJANAIS</t>
  </si>
  <si>
    <t>AZERBAIDJANAISE</t>
  </si>
  <si>
    <t>SALVADORIEN</t>
  </si>
  <si>
    <t>SALVADORIENNE</t>
  </si>
  <si>
    <t>GROENLANDAIS</t>
  </si>
  <si>
    <t>LADIVIEN</t>
  </si>
  <si>
    <t>LADIVIENNE</t>
  </si>
  <si>
    <t>SLOVENE</t>
  </si>
  <si>
    <t>SOVIETIQUE</t>
  </si>
  <si>
    <t>BULGARE</t>
  </si>
  <si>
    <t>BOSNIEN</t>
  </si>
  <si>
    <t>BOSNIENNE</t>
  </si>
  <si>
    <t>GESTION N° TYPE DE COMPTE</t>
  </si>
  <si>
    <t>CONVERSION TELEPHONE</t>
  </si>
  <si>
    <t>CODE ISO</t>
  </si>
  <si>
    <t>CODE PAYS</t>
  </si>
  <si>
    <t>FORMAT DATE MINEUR</t>
  </si>
  <si>
    <t>PEA</t>
  </si>
  <si>
    <t>FRANCAISE</t>
  </si>
  <si>
    <t>ALLEMANDE</t>
  </si>
  <si>
    <t>ITALIENNE</t>
  </si>
  <si>
    <t>IRLANDAISE</t>
  </si>
  <si>
    <t>DANOISE</t>
  </si>
  <si>
    <t>ESPAGNOLE</t>
  </si>
  <si>
    <t>ISLANDAISE</t>
  </si>
  <si>
    <t>SUEDOISE</t>
  </si>
  <si>
    <t>FINLANDAISE</t>
  </si>
  <si>
    <t>AUTRICHIENNE</t>
  </si>
  <si>
    <t>ANDORRAN</t>
  </si>
  <si>
    <t>POLONAISE</t>
  </si>
  <si>
    <t>HONGROISE</t>
  </si>
  <si>
    <t>ROUMANIENNE</t>
  </si>
  <si>
    <t>ALBANAISE</t>
  </si>
  <si>
    <t>GEORGIENNE</t>
  </si>
  <si>
    <t>ARMENIENNE</t>
  </si>
  <si>
    <t>MAROCAINE</t>
  </si>
  <si>
    <t>CEUTIENNE</t>
  </si>
  <si>
    <t>ALGERIENNE</t>
  </si>
  <si>
    <t>TUNISIENNE</t>
  </si>
  <si>
    <t>LIBYENNE</t>
  </si>
  <si>
    <t>EGYPTIENNE</t>
  </si>
  <si>
    <t>SOUDANAISE</t>
  </si>
  <si>
    <t>MAURITANIENNE</t>
  </si>
  <si>
    <t>MALIENNE</t>
  </si>
  <si>
    <t>NIGERIENNE</t>
  </si>
  <si>
    <t>TCHADIENNE</t>
  </si>
  <si>
    <t>SENEGALAISE</t>
  </si>
  <si>
    <t>GAMBIENNE</t>
  </si>
  <si>
    <t>GUINEENNE</t>
  </si>
  <si>
    <t>SIERRA LEONAISE</t>
  </si>
  <si>
    <t>LIBERIENNE</t>
  </si>
  <si>
    <t>IVOIRIENNE</t>
  </si>
  <si>
    <t>TOGOLAISE</t>
  </si>
  <si>
    <t>BENINOISE</t>
  </si>
  <si>
    <t>NIGERIANNE</t>
  </si>
  <si>
    <t>CAMEROUNAISE</t>
  </si>
  <si>
    <t>CENTRAFRICAINE</t>
  </si>
  <si>
    <t>EQUATO GUINEENNE</t>
  </si>
  <si>
    <t>GABONAISE</t>
  </si>
  <si>
    <t>RWANDAISE</t>
  </si>
  <si>
    <t>BURUNDAISE</t>
  </si>
  <si>
    <t>ANGOLAISE</t>
  </si>
  <si>
    <t>ETHIOPIENNE</t>
  </si>
  <si>
    <t>ERYTHREENNE</t>
  </si>
  <si>
    <t>SOMALIENNE</t>
  </si>
  <si>
    <t>KENYENNE</t>
  </si>
  <si>
    <t>OUGANDAISE</t>
  </si>
  <si>
    <t>TANZANIENNE</t>
  </si>
  <si>
    <t>SEYCHELLOISE</t>
  </si>
  <si>
    <t>MOZAMBICAINE</t>
  </si>
  <si>
    <t>ZAMBIENNE</t>
  </si>
  <si>
    <t>SUD AFRICAINE</t>
  </si>
  <si>
    <t>AMERICAINE</t>
  </si>
  <si>
    <t>CANADIENNE</t>
  </si>
  <si>
    <t>GROENLANDAISE</t>
  </si>
  <si>
    <t>MEXICAINE</t>
  </si>
  <si>
    <t>CUBAINE</t>
  </si>
  <si>
    <t>BAHAMEENNE</t>
  </si>
  <si>
    <t>MARTINIQUAISE</t>
  </si>
  <si>
    <t>JAMAICAINE</t>
  </si>
  <si>
    <t>BARBADIENNE</t>
  </si>
  <si>
    <t>COLOMBIENE</t>
  </si>
  <si>
    <t>BRESILIENNE</t>
  </si>
  <si>
    <t>CHILIENNE</t>
  </si>
  <si>
    <t>LIBANAISE</t>
  </si>
  <si>
    <t>SYRIENNE</t>
  </si>
  <si>
    <t>IRAKAISE</t>
  </si>
  <si>
    <t>IRANNAISE</t>
  </si>
  <si>
    <t>ISRAELIENNE</t>
  </si>
  <si>
    <t>SAOUDIENNE</t>
  </si>
  <si>
    <t>PAKISTANAISE</t>
  </si>
  <si>
    <t>BANGLADAISe</t>
  </si>
  <si>
    <t>AFGHANE</t>
  </si>
  <si>
    <t>AFGHAN</t>
  </si>
  <si>
    <t>THAILANDAISE</t>
  </si>
  <si>
    <t>VIETNAMIENNE</t>
  </si>
  <si>
    <t>CAMBODGIENNE</t>
  </si>
  <si>
    <t>INDONESIENNE</t>
  </si>
  <si>
    <t>MONGOLIENE</t>
  </si>
  <si>
    <t>CHINOISE</t>
  </si>
  <si>
    <t>COREENNE</t>
  </si>
  <si>
    <t>JAPONAISE</t>
  </si>
  <si>
    <t>TAIWANAISE</t>
  </si>
  <si>
    <t>HONGKONGAISE</t>
  </si>
  <si>
    <t>AUSTRALIENNE</t>
  </si>
  <si>
    <t>PORTUGAIS</t>
  </si>
  <si>
    <t>PORTUGAISE</t>
  </si>
  <si>
    <t>IS</t>
  </si>
  <si>
    <t>CAP VERDIEN</t>
  </si>
  <si>
    <t>CAP VERDIENNE</t>
  </si>
  <si>
    <t>BOTSWANAIS</t>
  </si>
  <si>
    <t>BOTSWANAISE</t>
  </si>
  <si>
    <t>SAMOAN</t>
  </si>
  <si>
    <t>VENEZUELIEN</t>
  </si>
  <si>
    <t>VENEZUELIENNE</t>
  </si>
  <si>
    <t>CZ</t>
  </si>
  <si>
    <t>GIBRALTARIEN</t>
  </si>
  <si>
    <t>GIBRALTARIENNE</t>
  </si>
  <si>
    <t>GUYANAIS</t>
  </si>
  <si>
    <t>GUYANAISE</t>
  </si>
  <si>
    <t>CALEDONE</t>
  </si>
  <si>
    <t>FRANCAIS</t>
  </si>
  <si>
    <t>MANDATAIRE</t>
  </si>
  <si>
    <t>TITULAIRE</t>
  </si>
  <si>
    <t>AGENCE DE NEMNIN</t>
  </si>
  <si>
    <t>INDE OCCIDENTALES</t>
  </si>
  <si>
    <t>IZ</t>
  </si>
  <si>
    <t xml:space="preserve">INDES  </t>
  </si>
  <si>
    <t>BRAZAVILLOISE</t>
  </si>
  <si>
    <t>BOA</t>
  </si>
  <si>
    <t>BF0162</t>
  </si>
  <si>
    <t>ZU</t>
  </si>
  <si>
    <t>KABORE Benjamin</t>
  </si>
  <si>
    <t>BF0241</t>
  </si>
  <si>
    <t>DC</t>
  </si>
  <si>
    <t>OUEDDOUDA W. Christian</t>
  </si>
  <si>
    <t>BF0250</t>
  </si>
  <si>
    <t>OY</t>
  </si>
  <si>
    <t>OUATTARA Fulgence</t>
  </si>
  <si>
    <t>BF0268</t>
  </si>
  <si>
    <t>ZONGO Bénédicte</t>
  </si>
  <si>
    <t>KAYA</t>
  </si>
  <si>
    <t>N</t>
  </si>
  <si>
    <t>BAT, RESIDENCE</t>
  </si>
  <si>
    <t>I</t>
  </si>
  <si>
    <t>V</t>
  </si>
  <si>
    <t>Province</t>
  </si>
  <si>
    <t>Chef lieu</t>
  </si>
  <si>
    <t>CORRESPONDCE</t>
  </si>
  <si>
    <t>PASSORE</t>
  </si>
  <si>
    <t>YAKO</t>
  </si>
  <si>
    <t>BOULGOU</t>
  </si>
  <si>
    <t>BALE</t>
  </si>
  <si>
    <t>BAM</t>
  </si>
  <si>
    <t>BANWA</t>
  </si>
  <si>
    <t>BAZEGA</t>
  </si>
  <si>
    <t>BOUGOURIBA</t>
  </si>
  <si>
    <t>BOULKIEMDE</t>
  </si>
  <si>
    <t>COMOE</t>
  </si>
  <si>
    <t>GANZOURGOU</t>
  </si>
  <si>
    <t>GNAGNA</t>
  </si>
  <si>
    <t>GOURMA</t>
  </si>
  <si>
    <t>HOUET</t>
  </si>
  <si>
    <t>IOBA</t>
  </si>
  <si>
    <t>KENEDOUGOU</t>
  </si>
  <si>
    <t>KOMANDJARI</t>
  </si>
  <si>
    <t>KOMPIENGA</t>
  </si>
  <si>
    <t>KOSSI</t>
  </si>
  <si>
    <t>KOULPELOGO</t>
  </si>
  <si>
    <t>KOURITENGA</t>
  </si>
  <si>
    <t>KOURWEOGO</t>
  </si>
  <si>
    <t>LERABA</t>
  </si>
  <si>
    <t>LOROUM</t>
  </si>
  <si>
    <t>MOUHOUN</t>
  </si>
  <si>
    <t>NAHOURI</t>
  </si>
  <si>
    <t>NAMENTENGA</t>
  </si>
  <si>
    <t>NAYALA</t>
  </si>
  <si>
    <t>NOUMBIEL</t>
  </si>
  <si>
    <t>OUBRITENGA</t>
  </si>
  <si>
    <t>OUDALAN</t>
  </si>
  <si>
    <t>PONI</t>
  </si>
  <si>
    <t>SANGUIE</t>
  </si>
  <si>
    <t>SANMATENGA</t>
  </si>
  <si>
    <t>SENO</t>
  </si>
  <si>
    <t>SISSILI</t>
  </si>
  <si>
    <t>SOUM</t>
  </si>
  <si>
    <t>SOUROU</t>
  </si>
  <si>
    <t>TAPOA</t>
  </si>
  <si>
    <t>TUY</t>
  </si>
  <si>
    <t>YAGHA</t>
  </si>
  <si>
    <t>YATENGA</t>
  </si>
  <si>
    <t>ZIRO</t>
  </si>
  <si>
    <t>ZOUNDWEOGO</t>
  </si>
  <si>
    <t>BOROMO</t>
  </si>
  <si>
    <t>KONGOUSSI</t>
  </si>
  <si>
    <t>SOLENZO</t>
  </si>
  <si>
    <t>KOMBISSIRI</t>
  </si>
  <si>
    <t>DIEBOUGOU</t>
  </si>
  <si>
    <t>TENKODOGO</t>
  </si>
  <si>
    <t>BANFORA</t>
  </si>
  <si>
    <t>ZORGHO</t>
  </si>
  <si>
    <t>BOGANDE</t>
  </si>
  <si>
    <t>DANO</t>
  </si>
  <si>
    <t>ORODARA</t>
  </si>
  <si>
    <t>KOMONDJARI</t>
  </si>
  <si>
    <t>PAMA</t>
  </si>
  <si>
    <t>NOUNA</t>
  </si>
  <si>
    <t>OUARGAY</t>
  </si>
  <si>
    <t>BOUSSE</t>
  </si>
  <si>
    <t>SINDOU</t>
  </si>
  <si>
    <t>TITAO</t>
  </si>
  <si>
    <t>PO</t>
  </si>
  <si>
    <t>BOULSA</t>
  </si>
  <si>
    <t>TOMA</t>
  </si>
  <si>
    <t>BATIE</t>
  </si>
  <si>
    <t>ZINIARE</t>
  </si>
  <si>
    <t>GOROM-GOROM</t>
  </si>
  <si>
    <t>REO</t>
  </si>
  <si>
    <t>DORI</t>
  </si>
  <si>
    <t>LEO</t>
  </si>
  <si>
    <t>DJIBO</t>
  </si>
  <si>
    <t>TOUGAN</t>
  </si>
  <si>
    <t>DIAPAGA</t>
  </si>
  <si>
    <t>HOUNDE</t>
  </si>
  <si>
    <t>SEBBA</t>
  </si>
  <si>
    <t>OUAHIGOUYA</t>
  </si>
  <si>
    <t>SAPOUY</t>
  </si>
  <si>
    <t>GOURCY</t>
  </si>
  <si>
    <t>MANGA</t>
  </si>
  <si>
    <t>R</t>
  </si>
  <si>
    <t>S</t>
  </si>
  <si>
    <t>DIVERS</t>
  </si>
  <si>
    <t>COMPTE RETRAITE CNSS</t>
  </si>
  <si>
    <t>COMPTE RETRAITE CARFO &gt;300000</t>
  </si>
  <si>
    <t>RC SUIVANT TYPE CPTE A OUVRIR</t>
  </si>
  <si>
    <t>ELEVE</t>
  </si>
  <si>
    <t>JURISTE</t>
  </si>
  <si>
    <t>LIBRAIRIE ET DIFFUSEURS</t>
  </si>
  <si>
    <t>ACTUARIAT</t>
  </si>
  <si>
    <t>ADJOINT DIRECTEUR DU PERSONNEL</t>
  </si>
  <si>
    <t>0306</t>
  </si>
  <si>
    <t>ADJOINT DIRECTEUR RELATIONS HUMAINES</t>
  </si>
  <si>
    <t>0304</t>
  </si>
  <si>
    <t>ADMINISTRATEUR</t>
  </si>
  <si>
    <t>0111</t>
  </si>
  <si>
    <t>ADMINISTRATEUR CIVIL</t>
  </si>
  <si>
    <t>1606</t>
  </si>
  <si>
    <t>ADMINISTRATEUR JUDICIAIRE</t>
  </si>
  <si>
    <t>1512</t>
  </si>
  <si>
    <t>1513</t>
  </si>
  <si>
    <t>AGENT DE CHANGE</t>
  </si>
  <si>
    <t>1504</t>
  </si>
  <si>
    <t>0523</t>
  </si>
  <si>
    <t>1677</t>
  </si>
  <si>
    <t>1692</t>
  </si>
  <si>
    <t>AGENT DE SERVICE FINANCIER</t>
  </si>
  <si>
    <t>0229</t>
  </si>
  <si>
    <t>AGENT DES CAISSES AUTOMNOMES</t>
  </si>
  <si>
    <t>1657</t>
  </si>
  <si>
    <t>AGENT DES IMPOTS</t>
  </si>
  <si>
    <t>1680</t>
  </si>
  <si>
    <t>AGENT DES P.T.T.</t>
  </si>
  <si>
    <t>1656</t>
  </si>
  <si>
    <t>1515</t>
  </si>
  <si>
    <t>AGRONOME</t>
  </si>
  <si>
    <t>1704</t>
  </si>
  <si>
    <t>ANALYSTE FINANCIER</t>
  </si>
  <si>
    <t>0215</t>
  </si>
  <si>
    <t>ANALYSTE -PROGRAMMEUR</t>
  </si>
  <si>
    <t>0609</t>
  </si>
  <si>
    <t>1601</t>
  </si>
  <si>
    <t>ANIMATEUR FORMATION</t>
  </si>
  <si>
    <t>0312</t>
  </si>
  <si>
    <t>ANTIQUAIRE</t>
  </si>
  <si>
    <t>1614</t>
  </si>
  <si>
    <t>ARCHITECTE</t>
  </si>
  <si>
    <t>1522</t>
  </si>
  <si>
    <t>ART PLASTIQUE</t>
  </si>
  <si>
    <t>1616</t>
  </si>
  <si>
    <t>1615</t>
  </si>
  <si>
    <t>ASSISTANT CHEF DE MARCHE</t>
  </si>
  <si>
    <t>0406</t>
  </si>
  <si>
    <t>ASSISTANT CHEF DE PRODUIT</t>
  </si>
  <si>
    <t>0404</t>
  </si>
  <si>
    <t>ASSISTANT ETUDE MARKETING</t>
  </si>
  <si>
    <t>0408</t>
  </si>
  <si>
    <t>ASSOCIATIONS ET ORGANISATIONS</t>
  </si>
  <si>
    <t>1642</t>
  </si>
  <si>
    <t>1604</t>
  </si>
  <si>
    <t>ATTACHE DE DIRECTION</t>
  </si>
  <si>
    <t>0109</t>
  </si>
  <si>
    <t>0204</t>
  </si>
  <si>
    <t>0205</t>
  </si>
  <si>
    <t>0206</t>
  </si>
  <si>
    <t>0207</t>
  </si>
  <si>
    <t>AUTOS : LOCATION, REPARATION, VENTE</t>
  </si>
  <si>
    <t>1643</t>
  </si>
  <si>
    <t>AVOCAT</t>
  </si>
  <si>
    <t>1501</t>
  </si>
  <si>
    <t>B.T.P</t>
  </si>
  <si>
    <t>1619</t>
  </si>
  <si>
    <t>1620</t>
  </si>
  <si>
    <t>1644</t>
  </si>
  <si>
    <t>1645</t>
  </si>
  <si>
    <t>1646</t>
  </si>
  <si>
    <t>BUREAU D'ETUDE</t>
  </si>
  <si>
    <t>1529</t>
  </si>
  <si>
    <t>CADRE ADMINISTRATIF</t>
  </si>
  <si>
    <t>1102</t>
  </si>
  <si>
    <t>0510</t>
  </si>
  <si>
    <t>0216</t>
  </si>
  <si>
    <t>CADRE D'AGENCE</t>
  </si>
  <si>
    <t>1303</t>
  </si>
  <si>
    <t>CADRE DE GROUPE</t>
  </si>
  <si>
    <t>1304</t>
  </si>
  <si>
    <t>CADRE EXPORT</t>
  </si>
  <si>
    <t>0519</t>
  </si>
  <si>
    <t>CADRE FINANCIER</t>
  </si>
  <si>
    <t>0210</t>
  </si>
  <si>
    <t>CADRE FINANCIER DEBUTANT</t>
  </si>
  <si>
    <t>0211</t>
  </si>
  <si>
    <t>CAISSIER</t>
  </si>
  <si>
    <t>1673</t>
  </si>
  <si>
    <t>CASINOS</t>
  </si>
  <si>
    <t>1647</t>
  </si>
  <si>
    <t>CENTRE DE RECHERCHE ET D'INFO CC</t>
  </si>
  <si>
    <t>1649</t>
  </si>
  <si>
    <t>CENTRE MEDICAUX ET INFIRMERIE</t>
  </si>
  <si>
    <t>1648</t>
  </si>
  <si>
    <t>1314</t>
  </si>
  <si>
    <t>CHARGES D'ETUDES ECONOMIQUES</t>
  </si>
  <si>
    <t>1002</t>
  </si>
  <si>
    <t>CHARGES D'ETUDES STATISTIQUES</t>
  </si>
  <si>
    <t>1003</t>
  </si>
  <si>
    <t>CHARGES D'ETUDES/RELAT. HUMAINES</t>
  </si>
  <si>
    <t>0310</t>
  </si>
  <si>
    <t>1662</t>
  </si>
  <si>
    <t>CHEF CENTRE INFORMATIQUE</t>
  </si>
  <si>
    <t>0603</t>
  </si>
  <si>
    <t>0212</t>
  </si>
  <si>
    <t>CHEF DE GROUPE</t>
  </si>
  <si>
    <t>0412</t>
  </si>
  <si>
    <t>CHEF DE MARCHE</t>
  </si>
  <si>
    <t>0405</t>
  </si>
  <si>
    <t>0403</t>
  </si>
  <si>
    <t>0605</t>
  </si>
  <si>
    <t>CHEF DE PUBLICITE</t>
  </si>
  <si>
    <t>0413</t>
  </si>
  <si>
    <t>CHEF DES VENTES</t>
  </si>
  <si>
    <t>0503</t>
  </si>
  <si>
    <t>0309</t>
  </si>
  <si>
    <t>CHIMISTE</t>
  </si>
  <si>
    <t>1678</t>
  </si>
  <si>
    <t>1650</t>
  </si>
  <si>
    <t>1651</t>
  </si>
  <si>
    <t>COMMERCANT</t>
  </si>
  <si>
    <t>1525</t>
  </si>
  <si>
    <t>1520</t>
  </si>
  <si>
    <t>COMMUNICATEUR</t>
  </si>
  <si>
    <t>1695</t>
  </si>
  <si>
    <t>COMPTABLE</t>
  </si>
  <si>
    <t>0213</t>
  </si>
  <si>
    <t>0512</t>
  </si>
  <si>
    <t>CONSEIL DE DIRECTION</t>
  </si>
  <si>
    <t>0110</t>
  </si>
  <si>
    <t>CONSEIL DE PUBLICITE</t>
  </si>
  <si>
    <t>0414</t>
  </si>
  <si>
    <t>0214</t>
  </si>
  <si>
    <t>CONSEIL EN GESTION APPROVIS.</t>
  </si>
  <si>
    <t>0705</t>
  </si>
  <si>
    <t>CONSEIL EN GESTION PATRIMOINE</t>
  </si>
  <si>
    <t>1503</t>
  </si>
  <si>
    <t>CONSEIL EN INFORMATIQUE</t>
  </si>
  <si>
    <t>0608</t>
  </si>
  <si>
    <t>0409</t>
  </si>
  <si>
    <t>CONSEIL EN ORGANISATION</t>
  </si>
  <si>
    <t>0607</t>
  </si>
  <si>
    <t>1204</t>
  </si>
  <si>
    <t>1203</t>
  </si>
  <si>
    <t>CONSEIL RELATIONS PUBLIQUES</t>
  </si>
  <si>
    <t>0803</t>
  </si>
  <si>
    <t>0311</t>
  </si>
  <si>
    <t>1687</t>
  </si>
  <si>
    <t>CONSULTANT DIVERS</t>
  </si>
  <si>
    <t>1510</t>
  </si>
  <si>
    <t>CONSULTANT ETUDES TECHNIQUES</t>
  </si>
  <si>
    <t>1507</t>
  </si>
  <si>
    <t>1506</t>
  </si>
  <si>
    <t>CONSULTANT JURIDIQUE</t>
  </si>
  <si>
    <t>1511</t>
  </si>
  <si>
    <t>CONSULTANT PUBLICITE</t>
  </si>
  <si>
    <t>1509</t>
  </si>
  <si>
    <t>CONSULTANT RECRUTEMENT</t>
  </si>
  <si>
    <t>1508</t>
  </si>
  <si>
    <t>CONTROLEUR DE GESTION</t>
  </si>
  <si>
    <t>0202</t>
  </si>
  <si>
    <t>CONTROLEUR DE GESTION DEBUTANT</t>
  </si>
  <si>
    <t>0203</t>
  </si>
  <si>
    <t>CONTROLEUR FINANCIER</t>
  </si>
  <si>
    <t>0218</t>
  </si>
  <si>
    <t>1409</t>
  </si>
  <si>
    <t>COURTIER EN ASSURANCE</t>
  </si>
  <si>
    <t>1516</t>
  </si>
  <si>
    <t>1652</t>
  </si>
  <si>
    <t>CULTIVATEUR</t>
  </si>
  <si>
    <t>1705</t>
  </si>
  <si>
    <t>1526</t>
  </si>
  <si>
    <t>DENTISTE</t>
  </si>
  <si>
    <t>1636</t>
  </si>
  <si>
    <t>DEPUTE</t>
  </si>
  <si>
    <t>1610</t>
  </si>
  <si>
    <t>DIPLOMATE</t>
  </si>
  <si>
    <t>1681</t>
  </si>
  <si>
    <t>DIRECTEUR ADINISTRATIF ET FINANCIER</t>
  </si>
  <si>
    <t>0220</t>
  </si>
  <si>
    <t>DIRECTEUR DES RESSOURCES HUMAINES</t>
  </si>
  <si>
    <t>0313</t>
  </si>
  <si>
    <t>DIRECTEUR DE GROUPE OU DE REGION</t>
  </si>
  <si>
    <t>1302</t>
  </si>
  <si>
    <t>DIRECTEUR DU CONTRÔLE DE GESTION</t>
  </si>
  <si>
    <t>0201</t>
  </si>
  <si>
    <t>DIRECTEUR FINANCIER ADJOINT</t>
  </si>
  <si>
    <t>0217</t>
  </si>
  <si>
    <t>DIRECTEUR RELATIONS INTERNATIONALES</t>
  </si>
  <si>
    <t>0806</t>
  </si>
  <si>
    <t>DIRECTEUR CEBTRE DE PROFIT/MAGASIN</t>
  </si>
  <si>
    <t>0123</t>
  </si>
  <si>
    <t>DIRECTEUR</t>
  </si>
  <si>
    <t>1001</t>
  </si>
  <si>
    <t>DIRECTEUR ACHATS(DISTRIBUTION)</t>
  </si>
  <si>
    <t>0703</t>
  </si>
  <si>
    <t>DIRECTEUR ACHATS (PRODUITS)</t>
  </si>
  <si>
    <t>0701</t>
  </si>
  <si>
    <t>DIRECTEUR ADMINISTRATIF</t>
  </si>
  <si>
    <t>1101</t>
  </si>
  <si>
    <t>DIRECTEUR COMMERCIAL</t>
  </si>
  <si>
    <t>0501</t>
  </si>
  <si>
    <t>DIRECTEUR COMMERCIAL ADJOINT</t>
  </si>
  <si>
    <t>0502</t>
  </si>
  <si>
    <t>DIRECTEUR COMMUNICATION</t>
  </si>
  <si>
    <t>0801</t>
  </si>
  <si>
    <t>1301</t>
  </si>
  <si>
    <t>DIRECTEUR DE CLIENTELE</t>
  </si>
  <si>
    <t>0410</t>
  </si>
  <si>
    <t>DIRECTEUR DE COMPTABILITE</t>
  </si>
  <si>
    <t>0222</t>
  </si>
  <si>
    <t>DIRECTEUR DE CONTENTIEUX</t>
  </si>
  <si>
    <t>1202</t>
  </si>
  <si>
    <t>DIRECTEUR DU DEVELOPPEMENT</t>
  </si>
  <si>
    <t>0415</t>
  </si>
  <si>
    <t>DIRECTEUR DE DIVISION</t>
  </si>
  <si>
    <t>0117</t>
  </si>
  <si>
    <t>DIRECTEUR DE FILIALE</t>
  </si>
  <si>
    <t>0107</t>
  </si>
  <si>
    <t>DIRECTEUR DE PRODUCTION</t>
  </si>
  <si>
    <t>0903</t>
  </si>
  <si>
    <t>DIRECTEUR DES VENTES</t>
  </si>
  <si>
    <t>0515</t>
  </si>
  <si>
    <t>DIRECTEUR DU PERSONNEL</t>
  </si>
  <si>
    <t>0305</t>
  </si>
  <si>
    <t>DIRECTEUR EXPORT</t>
  </si>
  <si>
    <t>0516</t>
  </si>
  <si>
    <t xml:space="preserve">DIRECTEUR FINANCIER </t>
  </si>
  <si>
    <t>0209</t>
  </si>
  <si>
    <t>DIRECTEUR GENERAL</t>
  </si>
  <si>
    <t>0103</t>
  </si>
  <si>
    <t>DIRECTEUR GENERAL ADJOINT</t>
  </si>
  <si>
    <t>0104</t>
  </si>
  <si>
    <t>DIRECTEUR INDUSTRIEL</t>
  </si>
  <si>
    <t>0802</t>
  </si>
  <si>
    <t>0902</t>
  </si>
  <si>
    <t>DIRECTEUR INFORMATIQUE</t>
  </si>
  <si>
    <t>0602</t>
  </si>
  <si>
    <t>DIRECTEUR JURIDIQUE</t>
  </si>
  <si>
    <t>1205</t>
  </si>
  <si>
    <t>DIRECTEUR LOGISTIQUE</t>
  </si>
  <si>
    <t>0904</t>
  </si>
  <si>
    <t>DIRECTEUR MARKETING</t>
  </si>
  <si>
    <t>0401</t>
  </si>
  <si>
    <t>DIRECTEUR ORGANISATION</t>
  </si>
  <si>
    <t>0601</t>
  </si>
  <si>
    <t>DIRECTEUR PUBLICITE</t>
  </si>
  <si>
    <t>0416</t>
  </si>
  <si>
    <t>DIRECTEUR REGIONAL</t>
  </si>
  <si>
    <t>0518</t>
  </si>
  <si>
    <t>DIRECTEUR RELATION FILIALES</t>
  </si>
  <si>
    <t>0119</t>
  </si>
  <si>
    <t>DIRECTEUR RELATIONS HUMAINES</t>
  </si>
  <si>
    <t>0302</t>
  </si>
  <si>
    <t>DIRECTEUR RELATIONS SOCIALES</t>
  </si>
  <si>
    <t>0301</t>
  </si>
  <si>
    <t>DIRECTEUR TECHNIQUE</t>
  </si>
  <si>
    <t>0901</t>
  </si>
  <si>
    <t>DIREVTEUR/CHEF DEPARTEMENT</t>
  </si>
  <si>
    <t>0118</t>
  </si>
  <si>
    <t>1653</t>
  </si>
  <si>
    <t>ECCLESIASTIQUE</t>
  </si>
  <si>
    <t>1607</t>
  </si>
  <si>
    <t>ECONOMISTE</t>
  </si>
  <si>
    <t>1658</t>
  </si>
  <si>
    <t>ECONOMISTE GESTIONNAIRE</t>
  </si>
  <si>
    <t>0226</t>
  </si>
  <si>
    <t>1622</t>
  </si>
  <si>
    <t>EDUCATEUR SOCIAL</t>
  </si>
  <si>
    <t>1686</t>
  </si>
  <si>
    <t>1005</t>
  </si>
  <si>
    <t>1697</t>
  </si>
  <si>
    <t>1316</t>
  </si>
  <si>
    <t>1602</t>
  </si>
  <si>
    <t>ENSEIGNANT SUPERIEUR</t>
  </si>
  <si>
    <t>1603</t>
  </si>
  <si>
    <t>ENTREPRENEUR</t>
  </si>
  <si>
    <t>1668</t>
  </si>
  <si>
    <t>1670</t>
  </si>
  <si>
    <t>ESTHETICIEN</t>
  </si>
  <si>
    <t>1624</t>
  </si>
  <si>
    <t>ETUDIANT</t>
  </si>
  <si>
    <t>1006</t>
  </si>
  <si>
    <t>EXPERT COMPTABLE ASSOCIE</t>
  </si>
  <si>
    <t>1518</t>
  </si>
  <si>
    <t>EXPERT COMPTABLE INDEPENDANT</t>
  </si>
  <si>
    <t>1519</t>
  </si>
  <si>
    <t>EXPERT COMPTABLE STAGIAIRE</t>
  </si>
  <si>
    <t>0223</t>
  </si>
  <si>
    <t>EXPERT EN ASSURANCE</t>
  </si>
  <si>
    <t>1517</t>
  </si>
  <si>
    <t>EXPERT COMPTABLE FINANCIER</t>
  </si>
  <si>
    <t>0219</t>
  </si>
  <si>
    <t>EXPLOITANT AGRICOLE</t>
  </si>
  <si>
    <t>1609</t>
  </si>
  <si>
    <t>FOOTBALLEUR</t>
  </si>
  <si>
    <t>1682</t>
  </si>
  <si>
    <t>FOYERS</t>
  </si>
  <si>
    <t>1625</t>
  </si>
  <si>
    <t>1663</t>
  </si>
  <si>
    <t>GENDARME</t>
  </si>
  <si>
    <t>1674</t>
  </si>
  <si>
    <t>GEOGRAPHE</t>
  </si>
  <si>
    <t>1684</t>
  </si>
  <si>
    <t>GEOLOGUE</t>
  </si>
  <si>
    <t>1690</t>
  </si>
  <si>
    <t>GERANT</t>
  </si>
  <si>
    <t>0106</t>
  </si>
  <si>
    <t>GESTIONNAIRE</t>
  </si>
  <si>
    <t>0225</t>
  </si>
  <si>
    <t>1312</t>
  </si>
  <si>
    <t>1617</t>
  </si>
  <si>
    <t>HOTELIERE</t>
  </si>
  <si>
    <t>1626</t>
  </si>
  <si>
    <t>HOTESSE DE L'AIR</t>
  </si>
  <si>
    <t>0524</t>
  </si>
  <si>
    <t>HUISSIER DE JUSTICE</t>
  </si>
  <si>
    <t>1530</t>
  </si>
  <si>
    <t>MMOBILIER : AGENTS ET SOCIETES</t>
  </si>
  <si>
    <t>1627</t>
  </si>
  <si>
    <t>INFOGRAPHE</t>
  </si>
  <si>
    <t>1694</t>
  </si>
  <si>
    <t>INFORMATICIEN</t>
  </si>
  <si>
    <t>0612</t>
  </si>
  <si>
    <t>INGENIERIE FINANCIERES</t>
  </si>
  <si>
    <t>1311</t>
  </si>
  <si>
    <t>INGENIEUR AGRO ALIMENTAIRE</t>
  </si>
  <si>
    <t>1703</t>
  </si>
  <si>
    <t>INGENIEUR COMMERCIAL</t>
  </si>
  <si>
    <t>0520</t>
  </si>
  <si>
    <t>INGENIEUR D'AFFAIRES</t>
  </si>
  <si>
    <t>0507</t>
  </si>
  <si>
    <t>INGENIEUR ELECTRONIQUE</t>
  </si>
  <si>
    <t>0909</t>
  </si>
  <si>
    <t>INGENIEUR INFORMATIQUE</t>
  </si>
  <si>
    <t>0611</t>
  </si>
  <si>
    <t>INGENIEUR TECHNICO-COMMERCIAL</t>
  </si>
  <si>
    <t>0508</t>
  </si>
  <si>
    <t>INGENIEUR TELECOM</t>
  </si>
  <si>
    <t>0613</t>
  </si>
  <si>
    <t>1523</t>
  </si>
  <si>
    <t>INSPECTEUR COMMERCIAL</t>
  </si>
  <si>
    <t>0513</t>
  </si>
  <si>
    <t>INSPECTEUR DES VENTES</t>
  </si>
  <si>
    <t>0514</t>
  </si>
  <si>
    <t>INSPECTION</t>
  </si>
  <si>
    <t>1405</t>
  </si>
  <si>
    <t>JOURNALISTE</t>
  </si>
  <si>
    <t>1608</t>
  </si>
  <si>
    <t>1207</t>
  </si>
  <si>
    <t>0002</t>
  </si>
  <si>
    <t>LEASING</t>
  </si>
  <si>
    <t>1313</t>
  </si>
  <si>
    <t>MAGASINIER</t>
  </si>
  <si>
    <t>1669</t>
  </si>
  <si>
    <t>1612</t>
  </si>
  <si>
    <t>MAITRE ECONOMIQUE</t>
  </si>
  <si>
    <t>0228</t>
  </si>
  <si>
    <t>1661</t>
  </si>
  <si>
    <t>1524</t>
  </si>
  <si>
    <t>MEMBRE DE DIRECTOIRE</t>
  </si>
  <si>
    <t>0112</t>
  </si>
  <si>
    <t>MENAGERE</t>
  </si>
  <si>
    <t>1688</t>
  </si>
  <si>
    <t>MENUISIERS</t>
  </si>
  <si>
    <t>1629</t>
  </si>
  <si>
    <t>MILITAIRE</t>
  </si>
  <si>
    <t>1654</t>
  </si>
  <si>
    <t>MINIER</t>
  </si>
  <si>
    <t>1613</t>
  </si>
  <si>
    <t>MUSICIEN</t>
  </si>
  <si>
    <t>1618</t>
  </si>
  <si>
    <t>NOTAIRE</t>
  </si>
  <si>
    <t>1502</t>
  </si>
  <si>
    <t>OCEANOGRAPHE</t>
  </si>
  <si>
    <t>1631</t>
  </si>
  <si>
    <t>OP/FINANCIER - PLACEMENT</t>
  </si>
  <si>
    <t>1308</t>
  </si>
  <si>
    <t>OP/FINANCIERES - SYNDICATION</t>
  </si>
  <si>
    <t>1309</t>
  </si>
  <si>
    <t>OP/FINANCIERES- TRADING</t>
  </si>
  <si>
    <t>1310</t>
  </si>
  <si>
    <t>OPERATIONS FINANCIERES-EMISSION</t>
  </si>
  <si>
    <t>1307</t>
  </si>
  <si>
    <t>1630</t>
  </si>
  <si>
    <t>P.D.G</t>
  </si>
  <si>
    <t>0101</t>
  </si>
  <si>
    <t>1632</t>
  </si>
  <si>
    <t>PEINTRE</t>
  </si>
  <si>
    <t>1689</t>
  </si>
  <si>
    <t>PHARMACIEN</t>
  </si>
  <si>
    <t>1633</t>
  </si>
  <si>
    <t>PHOTOGRAPHE</t>
  </si>
  <si>
    <t>1634</t>
  </si>
  <si>
    <t>PILOTE</t>
  </si>
  <si>
    <t>1660</t>
  </si>
  <si>
    <t>POLICIER</t>
  </si>
  <si>
    <t>1655</t>
  </si>
  <si>
    <t>POMPISTE</t>
  </si>
  <si>
    <t>1667</t>
  </si>
  <si>
    <t>PRESIDENT CONSEIL D'ADMINISTRATION</t>
  </si>
  <si>
    <t>0116</t>
  </si>
  <si>
    <t>PRESIDENT CONSEIL SURVEILLANCE</t>
  </si>
  <si>
    <t>0120</t>
  </si>
  <si>
    <t>PRESIDENT D'HONNEUR</t>
  </si>
  <si>
    <t>0121</t>
  </si>
  <si>
    <t>PRESIDENT DU DIRECTOIRE</t>
  </si>
  <si>
    <t>0102</t>
  </si>
  <si>
    <t>PRESSE</t>
  </si>
  <si>
    <t>1635</t>
  </si>
  <si>
    <t>PRETRE</t>
  </si>
  <si>
    <t>1676</t>
  </si>
  <si>
    <t>RECEPTIONNISTE</t>
  </si>
  <si>
    <t>1675</t>
  </si>
  <si>
    <t>RECEVEUR</t>
  </si>
  <si>
    <t>1671</t>
  </si>
  <si>
    <t>RESPONSABLE ACTION COMMERCIALE</t>
  </si>
  <si>
    <t>0506</t>
  </si>
  <si>
    <t>RESPONSABLE D'AGENCE</t>
  </si>
  <si>
    <t>1407</t>
  </si>
  <si>
    <t>RESPONSABLE SES ETUDES</t>
  </si>
  <si>
    <t>0604</t>
  </si>
  <si>
    <t>RESPONSABLE JURIDIQUE ET FISCAL</t>
  </si>
  <si>
    <t>1201</t>
  </si>
  <si>
    <t>0606</t>
  </si>
  <si>
    <t>RESPONSABLE ACHATS</t>
  </si>
  <si>
    <t>0704</t>
  </si>
  <si>
    <t>RESPONSABLE ACHATS (PRODUITS)</t>
  </si>
  <si>
    <t>0702</t>
  </si>
  <si>
    <t>RESPONSABLE ADMISTRATIF</t>
  </si>
  <si>
    <t>1103</t>
  </si>
  <si>
    <t>RESPONSABLE ADMINISTRATION DES VENTES</t>
  </si>
  <si>
    <t>0511</t>
  </si>
  <si>
    <t>RESPONSABLE CREDIT CLIENTELE</t>
  </si>
  <si>
    <t>0517</t>
  </si>
  <si>
    <t>RESPONSABLE DE CLIENTELE ENTREPRISE</t>
  </si>
  <si>
    <t>1305</t>
  </si>
  <si>
    <t>RESPONSABLE DE CLIENTELE PARTICULIER</t>
  </si>
  <si>
    <t>1306</t>
  </si>
  <si>
    <t>RESPONSABLE LOGISTIQUE</t>
  </si>
  <si>
    <t>0907</t>
  </si>
  <si>
    <t>RESPONSABLE METHODE</t>
  </si>
  <si>
    <t>0906</t>
  </si>
  <si>
    <t>RESPONSABLE PLANNING</t>
  </si>
  <si>
    <t>0905</t>
  </si>
  <si>
    <t>0504</t>
  </si>
  <si>
    <t>RESPONSABLE RELATIONS PUBLIQUE</t>
  </si>
  <si>
    <t>0805</t>
  </si>
  <si>
    <t>RESPONSABLE RISQUE ENTREPRISE</t>
  </si>
  <si>
    <t>1406</t>
  </si>
  <si>
    <t>RESPONSABLE SERVICE PRODUCTION</t>
  </si>
  <si>
    <t>1401</t>
  </si>
  <si>
    <t>RESPONSABLE SERVICE REASSURANCE</t>
  </si>
  <si>
    <t>1403</t>
  </si>
  <si>
    <t>RESPONSABLE SERVICE SINISTRE</t>
  </si>
  <si>
    <t>1402</t>
  </si>
  <si>
    <t>RESPONSABLE ADINISTRATIF ET FINANCIER</t>
  </si>
  <si>
    <t>0221</t>
  </si>
  <si>
    <t>RESPONSABLE DE FORMATION</t>
  </si>
  <si>
    <t>0307</t>
  </si>
  <si>
    <t>RESPONSABLE ETUDE MARKETING</t>
  </si>
  <si>
    <t>0407</t>
  </si>
  <si>
    <t>RESPONSABLE GESTION CADRE</t>
  </si>
  <si>
    <t>0308</t>
  </si>
  <si>
    <t>RESPONSABLE MARKETING</t>
  </si>
  <si>
    <t>0402</t>
  </si>
  <si>
    <t>RESPONSABLE MEDIA</t>
  </si>
  <si>
    <t>0411</t>
  </si>
  <si>
    <t>RESPONSABLE SERVICE APRES VENTE</t>
  </si>
  <si>
    <t>0509</t>
  </si>
  <si>
    <t>RESPONSABLE ZONE EXPORT</t>
  </si>
  <si>
    <t>0505</t>
  </si>
  <si>
    <t>RESTAURANT ET SNACKS</t>
  </si>
  <si>
    <t>1702</t>
  </si>
  <si>
    <t>1701</t>
  </si>
  <si>
    <t>RETRAITE</t>
  </si>
  <si>
    <t>1693</t>
  </si>
  <si>
    <t>SECRETAIRE</t>
  </si>
  <si>
    <t>1665</t>
  </si>
  <si>
    <t>1664</t>
  </si>
  <si>
    <t>SECRETAIRE/DELEGUE GENERAL</t>
  </si>
  <si>
    <t>0105</t>
  </si>
  <si>
    <t xml:space="preserve">SECRETARIAT  </t>
  </si>
  <si>
    <t>1637</t>
  </si>
  <si>
    <t>SENATEUR</t>
  </si>
  <si>
    <t>1611</t>
  </si>
  <si>
    <t>SOCIO ECONOMISTE</t>
  </si>
  <si>
    <t>0227</t>
  </si>
  <si>
    <t>SOCIOLOGUE</t>
  </si>
  <si>
    <t>1659</t>
  </si>
  <si>
    <t>SOUDEUR</t>
  </si>
  <si>
    <t>1691</t>
  </si>
  <si>
    <t>SOUS-DIRECTEUR</t>
  </si>
  <si>
    <t>0122</t>
  </si>
  <si>
    <t>STAFFEUR</t>
  </si>
  <si>
    <t>1666</t>
  </si>
  <si>
    <t>STATISTICIEN</t>
  </si>
  <si>
    <t>1698</t>
  </si>
  <si>
    <t>STYLISME MODELISME</t>
  </si>
  <si>
    <t>1638</t>
  </si>
  <si>
    <t>TACHERON</t>
  </si>
  <si>
    <t>1679</t>
  </si>
  <si>
    <t>TAPISSIER</t>
  </si>
  <si>
    <t>1683</t>
  </si>
  <si>
    <t>TECHNICIEN AGRICOLE</t>
  </si>
  <si>
    <t>1672</t>
  </si>
  <si>
    <t>TECHNICIEN BIO MEDICAL</t>
  </si>
  <si>
    <t>0001</t>
  </si>
  <si>
    <t>TECHNICIEN SUPERIEUR CIVIL</t>
  </si>
  <si>
    <t>1685</t>
  </si>
  <si>
    <t>TECHNICIEN TELECOM</t>
  </si>
  <si>
    <t>0614</t>
  </si>
  <si>
    <t>TOPOGRAPHE</t>
  </si>
  <si>
    <t>1696</t>
  </si>
  <si>
    <t>TRADER</t>
  </si>
  <si>
    <t>0521</t>
  </si>
  <si>
    <t>TRADERS</t>
  </si>
  <si>
    <t>1315</t>
  </si>
  <si>
    <t>TRADUCTION INTERPRETARIAT</t>
  </si>
  <si>
    <t>1639</t>
  </si>
  <si>
    <t>1528</t>
  </si>
  <si>
    <t>1640</t>
  </si>
  <si>
    <t>TRESORIER</t>
  </si>
  <si>
    <t>0208</t>
  </si>
  <si>
    <t>UNIVERSITAIRE/CHERCHEURS</t>
  </si>
  <si>
    <t>1621</t>
  </si>
  <si>
    <t>V.R.P. MULTICARTES</t>
  </si>
  <si>
    <t>1514</t>
  </si>
  <si>
    <t>1527</t>
  </si>
  <si>
    <t>VICE PRESIDENT CONSEIL ADMINISTRATIF</t>
  </si>
  <si>
    <t>0115</t>
  </si>
  <si>
    <t>VOYAGE : TOURISME ET AGENCE</t>
  </si>
  <si>
    <t>1641</t>
  </si>
  <si>
    <t>TECHNICIEN DE SURFACE</t>
  </si>
  <si>
    <t>AUDITEUR INTERNE</t>
  </si>
  <si>
    <t>AUDITEUR EXTERNE</t>
  </si>
  <si>
    <t>CADRE COMPTABLE</t>
  </si>
  <si>
    <t xml:space="preserve">COURTIER D'ASSURANCE </t>
  </si>
  <si>
    <t>DOUANIER</t>
  </si>
  <si>
    <t>EDITEUR</t>
  </si>
  <si>
    <t>INGENIEUR</t>
  </si>
  <si>
    <t>RESTAURATEUR</t>
  </si>
  <si>
    <t>TRANSITAIRE</t>
  </si>
  <si>
    <t>VETERINAIRE</t>
  </si>
  <si>
    <t>AUDITEUR EXTERNE DEBUTANT</t>
  </si>
  <si>
    <t>AUDITEUR INTERNE DEBUTANT</t>
  </si>
  <si>
    <t xml:space="preserve">TELE OPERATEUR </t>
  </si>
  <si>
    <t>CONSEILLER CLIENTELE</t>
  </si>
  <si>
    <t>TELE CONSEILLER</t>
  </si>
  <si>
    <t>REPRESENTANT COMMERCIAL</t>
  </si>
  <si>
    <t>AGENT COMMERCIAL</t>
  </si>
  <si>
    <t>AGENT D'ASSURANCE</t>
  </si>
  <si>
    <t>EMPLOYE D'ASSURANCE</t>
  </si>
  <si>
    <t>CADRE D'ASSURANCE</t>
  </si>
  <si>
    <t>AGENT DE COMMERCE</t>
  </si>
  <si>
    <t>EMPLOYE DE COMMERCE</t>
  </si>
  <si>
    <t>AGENT DE LIAISON</t>
  </si>
  <si>
    <t>COURSIER</t>
  </si>
  <si>
    <t>AGENT DE NETTOYAGE</t>
  </si>
  <si>
    <t>AGENT GENERAL D'ASSURANCE</t>
  </si>
  <si>
    <t>ANIMATEUR DE RESEAU</t>
  </si>
  <si>
    <t>ANIMATEUR COMMERCIAL</t>
  </si>
  <si>
    <t>ANIMATEUR</t>
  </si>
  <si>
    <t>ARTISAN</t>
  </si>
  <si>
    <t>REPRESENTANT RESIDENT</t>
  </si>
  <si>
    <t xml:space="preserve">ATTACHE COMMERCIAL  </t>
  </si>
  <si>
    <t>JOAILIER</t>
  </si>
  <si>
    <t>ORFEVRE</t>
  </si>
  <si>
    <t>BIJOUTIER</t>
  </si>
  <si>
    <t>BLANCHISSEUR</t>
  </si>
  <si>
    <t>BOULANGER</t>
  </si>
  <si>
    <t>BOUTIQUIER</t>
  </si>
  <si>
    <t>ATTACHE COMMERCIAL</t>
  </si>
  <si>
    <t>CADRE COMMERCIAL</t>
  </si>
  <si>
    <t>CHEF D'AGENCE</t>
  </si>
  <si>
    <t>CHARGE D'AFFAIRES</t>
  </si>
  <si>
    <t>CONDUCTEUR</t>
  </si>
  <si>
    <t>CHAUFFEUR</t>
  </si>
  <si>
    <t>CHEF COMPTABLE</t>
  </si>
  <si>
    <t xml:space="preserve">CHEF DE COMPTABILITE </t>
  </si>
  <si>
    <t>CHEF DE MARQUE</t>
  </si>
  <si>
    <t>CHEF DE PRODUIT</t>
  </si>
  <si>
    <t>COORDONNATEUR DE PROJET</t>
  </si>
  <si>
    <t xml:space="preserve">CHEF DE PROJETS </t>
  </si>
  <si>
    <t>CHEF DU PERSONNEL</t>
  </si>
  <si>
    <t>COMEDIEN</t>
  </si>
  <si>
    <t>CHOREGRAPHE</t>
  </si>
  <si>
    <t>COIFFEUR</t>
  </si>
  <si>
    <t>COMMERCANTE</t>
  </si>
  <si>
    <t>COMISSAIRE AUX COMPTES</t>
  </si>
  <si>
    <t>CONSEIL COMMERCIAL</t>
  </si>
  <si>
    <t>CONSEIL EN GESTION</t>
  </si>
  <si>
    <t>CONSEIL EN COMPTABILITE</t>
  </si>
  <si>
    <t>CONSEIL EN FINANCE</t>
  </si>
  <si>
    <t>MARKETEUR</t>
  </si>
  <si>
    <t xml:space="preserve">CONSEIL EN MARKETING </t>
  </si>
  <si>
    <t>FISCALISTE</t>
  </si>
  <si>
    <t xml:space="preserve">CONSEIL FISCAL </t>
  </si>
  <si>
    <t>CONSEILLER JURIDIQUE</t>
  </si>
  <si>
    <t>CONSEIL JURIDIQUE</t>
  </si>
  <si>
    <t>CONSEIL EN RESSOURCES HUMAINES</t>
  </si>
  <si>
    <t>CONSEILLER DES AFFAIRES</t>
  </si>
  <si>
    <t>CONSEILLER AFFAIRES ETRANGERES</t>
  </si>
  <si>
    <t>CONSULTANT ENORGANISATION</t>
  </si>
  <si>
    <t>CONSEIL RELATIONS HUMAINES</t>
  </si>
  <si>
    <t>CONSULTANT INFORMATIQUE</t>
  </si>
  <si>
    <t>COUTURIER</t>
  </si>
  <si>
    <t>TAILLEUR</t>
  </si>
  <si>
    <t xml:space="preserve">COUTURE </t>
  </si>
  <si>
    <t>DESSINATEUR</t>
  </si>
  <si>
    <t xml:space="preserve">DECORATEUR </t>
  </si>
  <si>
    <t xml:space="preserve">DIRECTEUR D'AGENCE </t>
  </si>
  <si>
    <t>EMPLOYE DE PHARMACIE</t>
  </si>
  <si>
    <t>AGENT DE BANQUE</t>
  </si>
  <si>
    <t xml:space="preserve">EMPLOYE DE BANQUE </t>
  </si>
  <si>
    <t xml:space="preserve">ENSEIGNANT SECONDAIRE </t>
  </si>
  <si>
    <t>PROFESSEUR</t>
  </si>
  <si>
    <t>AGENT DES EAUX ET FORETS</t>
  </si>
  <si>
    <t>FORESTIER</t>
  </si>
  <si>
    <t xml:space="preserve">ENVIRONNEMENTALISTE </t>
  </si>
  <si>
    <t>VIGILE</t>
  </si>
  <si>
    <t>AGENT DE SECURITE</t>
  </si>
  <si>
    <t>GARDIEN</t>
  </si>
  <si>
    <t>GESTIONNAIRE FINANCIER</t>
  </si>
  <si>
    <t xml:space="preserve">GESTIONNAIRE DE PATRIMOINE </t>
  </si>
  <si>
    <t>GRAPHISME</t>
  </si>
  <si>
    <t>MAGNETISME</t>
  </si>
  <si>
    <t>EMPLOYE DE LABORATOIRE</t>
  </si>
  <si>
    <t>LABORANTIN</t>
  </si>
  <si>
    <t>INSTITUTEUR</t>
  </si>
  <si>
    <t>ENSEIGNANT</t>
  </si>
  <si>
    <t>GARAGISTE</t>
  </si>
  <si>
    <t>CORPS MEDICAL</t>
  </si>
  <si>
    <t>CHIRURGIEN</t>
  </si>
  <si>
    <t>ACCOUCHEUSE AUXILIAIRE</t>
  </si>
  <si>
    <t>OPTICIEN</t>
  </si>
  <si>
    <t>PASTISSIER</t>
  </si>
  <si>
    <t>RESPONSABLE SYSTEME</t>
  </si>
  <si>
    <t>PLANNIFICATEUR</t>
  </si>
  <si>
    <t>RESPONSABLE REGIONAL VENTE</t>
  </si>
  <si>
    <t>SECRETAIRE DE DIRECTION</t>
  </si>
  <si>
    <t xml:space="preserve">SECRETARIAT DE DIRECTION </t>
  </si>
  <si>
    <t>ASSISTANTE DE DIRECTION</t>
  </si>
  <si>
    <t>TRANSPORTEUR</t>
  </si>
  <si>
    <t xml:space="preserve">TRANSPORT </t>
  </si>
  <si>
    <t>MECANICIEN</t>
  </si>
  <si>
    <t>MAITRE</t>
  </si>
  <si>
    <t>ENSEIGNANT DU SECONDAIRE</t>
  </si>
  <si>
    <t>ENSEIGNANT DU SUPERIEUR</t>
  </si>
  <si>
    <t>GESTION ADRESSE POSTALE</t>
  </si>
  <si>
    <t>CHAUFFEUR MECANICIEN</t>
  </si>
  <si>
    <t>NOM &amp; PRENOM MARI</t>
  </si>
  <si>
    <t>GESTION LIEU D'ETS</t>
  </si>
  <si>
    <t>GESTION LIEU DE NAISSACE</t>
  </si>
  <si>
    <t>LIEU D'ETS 1 §§ BAT, RESID. &amp; LIEU NAISSCE</t>
  </si>
  <si>
    <t>COMPTE AVEC PROCURATION CH/CL</t>
  </si>
  <si>
    <t>SND</t>
  </si>
  <si>
    <t>CHECK LIST OUVERTURE DE COMPTE CLIENT SOUS SND</t>
  </si>
  <si>
    <t>CHECK LIST OUVERTURE DE COMPTE CLIENT SOUS SND + CL</t>
  </si>
  <si>
    <t>ATTACHE D'EDUCATION</t>
  </si>
  <si>
    <t>CONSEILLER D'EDUCATION</t>
  </si>
  <si>
    <t>ASSISTANT D'EDUCATION</t>
  </si>
  <si>
    <t>MEF</t>
  </si>
  <si>
    <t>MESS</t>
  </si>
  <si>
    <t>MENA</t>
  </si>
  <si>
    <t>MATDS</t>
  </si>
  <si>
    <t>MINISTERE DE LA JUSTICE</t>
  </si>
  <si>
    <t>MINISTERE DE LA SANTE</t>
  </si>
  <si>
    <t>MINISTERE DE LA DEFENSE</t>
  </si>
  <si>
    <t>PROFESSIONS</t>
  </si>
  <si>
    <t>CORRESP. IGOR</t>
  </si>
  <si>
    <t>CINEASTE</t>
  </si>
  <si>
    <t>251131,253110</t>
  </si>
  <si>
    <t>SND 2 COMPTES CH-CL</t>
  </si>
  <si>
    <t>KADIOGO</t>
  </si>
  <si>
    <t>MINISTERE DES AFFAIRES ETRANGERES</t>
  </si>
  <si>
    <t>MINISTERE DU COMMERCE</t>
  </si>
  <si>
    <t>NASSOURI ABDOULAYE JULES</t>
  </si>
  <si>
    <t>70080098</t>
  </si>
  <si>
    <t>001503830005</t>
  </si>
  <si>
    <t>B5830042 du 18052011 à ONI OUAGADOUGOU</t>
  </si>
  <si>
    <t>Carte Sesame Epargne HP</t>
  </si>
  <si>
    <t>YAMEOGO LASSANE</t>
  </si>
  <si>
    <t>001504600005</t>
  </si>
  <si>
    <t>B7279438 du 24112010 à ONI OUAGADOUGOU</t>
  </si>
  <si>
    <t>Package Salaria Carte Principale</t>
  </si>
  <si>
    <t>ZOMA YAMSOABA BENOIT</t>
  </si>
  <si>
    <t>78150756/70124797</t>
  </si>
  <si>
    <t>001503560009</t>
  </si>
  <si>
    <t>B02512525 du 14072011 à ONI KAYA</t>
  </si>
  <si>
    <t>TYPE CPTE</t>
  </si>
  <si>
    <t>BOBO DIOULASSO</t>
  </si>
  <si>
    <t>ZANDOMA</t>
  </si>
  <si>
    <t>COPIE ACTE DE NAISSANCE, COPIE FACTURE, BULLETIN/CONTRAT</t>
  </si>
  <si>
    <t>GREFFIER</t>
  </si>
  <si>
    <t>COPIE FACTURE</t>
  </si>
  <si>
    <t>COPIE ACTE DE NAISSANCE, COPIE FACTURE</t>
  </si>
  <si>
    <t>AUXILIAIRE DE JSUTICE</t>
  </si>
  <si>
    <t>CONTREMAITRE</t>
  </si>
  <si>
    <t>COPIE ACTE DE NAISSANCE</t>
  </si>
  <si>
    <t>COPIE BULLETIN/CONTRAT</t>
  </si>
  <si>
    <t>ACTE DE NAISSANCE, FACTURE, BULLETIN</t>
  </si>
  <si>
    <t>FACTURE</t>
  </si>
  <si>
    <t>ACTE DE NAISSANCE</t>
  </si>
  <si>
    <t>COPIE FACTURE, 2 PHOTOS</t>
  </si>
  <si>
    <t>COPIE ACTE DE NAISSANCE, 2 PHOTOS</t>
  </si>
  <si>
    <t>COPIE BULLETIN/CONTRAT, 2 PHOTOS</t>
  </si>
  <si>
    <t>ACTE DE NAISSANCE, FACTURE</t>
  </si>
  <si>
    <t>ACTE DE NAISSANCE, FACTURE, BULLETIN, 2 PHOTOS</t>
  </si>
  <si>
    <t>ACTE DE NAISSANCE, FACTURE, 2 PHOTOS</t>
  </si>
  <si>
    <t>FACTURE, 2 PHOTOS</t>
  </si>
  <si>
    <t>ACTE DE NAISSANCE, 2 PHOTOS</t>
  </si>
  <si>
    <t>BULLETIN/CONTRAT, 2 PHOTOS</t>
  </si>
  <si>
    <t xml:space="preserve">BULLETIN/CONTRAT </t>
  </si>
  <si>
    <t>GESTION MANQUANT SUR FEUILLE ETAT</t>
  </si>
  <si>
    <t>COPIE ACTE DE NAISSANCE, COPIE FACTURE, BULLETIN/CONTRAT, 2 PHOTOS</t>
  </si>
  <si>
    <t>COPIE ACTE DE NAISSANCE, COPIE FACTURE, 2 PHOTOS</t>
  </si>
  <si>
    <t>ELEMENTS A COPIER</t>
  </si>
  <si>
    <t>NOM CLIENT</t>
  </si>
  <si>
    <t>DATE JOUR</t>
  </si>
  <si>
    <t>N° TELEPH</t>
  </si>
  <si>
    <t>E-MAIL</t>
  </si>
  <si>
    <t>REF PIECE</t>
  </si>
  <si>
    <t>N° CPTE</t>
  </si>
  <si>
    <t>TYPE DE CPTE</t>
  </si>
  <si>
    <t>BOUCHER</t>
  </si>
  <si>
    <t>CHARGEE DE PROGRAMME</t>
  </si>
  <si>
    <t>CHARGE DE PROJET</t>
  </si>
  <si>
    <t>COORDONNATEUR DE PROGRAMME</t>
  </si>
  <si>
    <t>CIV</t>
  </si>
  <si>
    <t>USA</t>
  </si>
  <si>
    <t>RDC</t>
  </si>
  <si>
    <t>GOROM GOROM</t>
  </si>
  <si>
    <t>ILE MAURICE</t>
  </si>
  <si>
    <t>REPUBLIQUE TCHEQUE</t>
  </si>
  <si>
    <t>NEO ZELANDAISE</t>
  </si>
  <si>
    <t>NOUVELLE ZELANDE</t>
  </si>
  <si>
    <t>HONG KONG</t>
  </si>
  <si>
    <t>CONGO BRAZAVILLE</t>
  </si>
  <si>
    <t>ROYAUME UNI</t>
  </si>
  <si>
    <t>GUINEE BISSAU</t>
  </si>
  <si>
    <t>JEUX DE SOCIETE</t>
  </si>
  <si>
    <t>COLINA</t>
  </si>
  <si>
    <t>LISTA</t>
  </si>
  <si>
    <t>CODE PAYS MANDATAIRE</t>
  </si>
  <si>
    <t>VP MINEUR</t>
  </si>
  <si>
    <t>SI(ET(PARAMETRE!$A$30=18;D13="";B46="");62;SI(ET(PARAMETRE!$A$30=18;D13&lt;&gt;"";B46="");63;SI(ET(PARAMETRE!$A$30=18;D13="";B46&lt;&gt;"");64;SI(ET(PARAMETRE!$A$30=18;D13&lt;&gt;"";B46&lt;&gt;"");65</t>
  </si>
  <si>
    <t>SANS LOISIR</t>
  </si>
  <si>
    <t>NATATION</t>
  </si>
  <si>
    <t>mzagre@boaburkinafaso.com</t>
  </si>
  <si>
    <t>AGENT DES SERVICES TOURISTIQUES</t>
  </si>
  <si>
    <t>MEDECIN</t>
  </si>
  <si>
    <t>INFIRMIER</t>
  </si>
  <si>
    <t>SECRETAIRE-COMPTABLE</t>
  </si>
  <si>
    <t>MONSIEUR LE DIRECTEUR GENERAL</t>
  </si>
  <si>
    <t>MR LE DG</t>
  </si>
  <si>
    <t>MME LA DG</t>
  </si>
  <si>
    <t>MADAME LA DIRECTRICE GENERALE</t>
  </si>
  <si>
    <t xml:space="preserve">MR LE D </t>
  </si>
  <si>
    <t xml:space="preserve">MME LA D </t>
  </si>
  <si>
    <t xml:space="preserve">MONSIEUR LE DIRECTEUR  </t>
  </si>
  <si>
    <t xml:space="preserve">MADAME LA DIRECTRICE  </t>
  </si>
  <si>
    <t>TITRE DU 1ER RESPONSABLE</t>
  </si>
  <si>
    <t>MR LE CO</t>
  </si>
  <si>
    <t>MME LA CO</t>
  </si>
  <si>
    <t>MONSIEUR LE COORDONNATEUR</t>
  </si>
  <si>
    <t>MADAME LA COORDONNATRICE</t>
  </si>
  <si>
    <t>MR LE RR</t>
  </si>
  <si>
    <t>MME LA RR</t>
  </si>
  <si>
    <t>MONSIEUR LE REPRESENTANT RESIDENT</t>
  </si>
  <si>
    <t>MADAME LA REPRESENTANTE RESIDENTE</t>
  </si>
  <si>
    <t>MR LE DIRECTEUR GENERAL</t>
  </si>
  <si>
    <t>STANDARDISTE</t>
  </si>
  <si>
    <t>PSYCHOLOGUE</t>
  </si>
  <si>
    <t>PSYCHANALISTE</t>
  </si>
  <si>
    <t>INGENIEUR GENIE CIVIL</t>
  </si>
  <si>
    <t>GESTIONNAIRE DE STOCK</t>
  </si>
  <si>
    <t>DOCUMENTALISTE</t>
  </si>
  <si>
    <t>ARCHIVISTE</t>
  </si>
  <si>
    <t>MME LA DIRECTRICE GENERALE</t>
  </si>
  <si>
    <t>AGENT DE PRODUCTION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</si>
  <si>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</si>
  <si>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</si>
  <si>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</si>
  <si>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</si>
  <si>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</si>
  <si>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</si>
  <si>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</si>
  <si>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</si>
  <si>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</si>
  <si>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</si>
  <si>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</si>
  <si>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</si>
  <si>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Cumul</t>
  </si>
  <si>
    <t>Cumul2</t>
  </si>
  <si>
    <t>LIEN AVEC USF</t>
  </si>
  <si>
    <t>JCGL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</si>
  <si>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</si>
  <si>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</si>
  <si>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</si>
  <si>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</si>
  <si>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</si>
  <si>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</si>
  <si>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</si>
  <si>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</si>
  <si>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</si>
  <si>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</si>
  <si>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</si>
  <si>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</si>
  <si>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</si>
  <si>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</si>
  <si>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</si>
  <si>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</si>
  <si>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</si>
  <si>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</si>
  <si>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</si>
  <si>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</si>
  <si>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</si>
  <si>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</si>
  <si>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</si>
  <si>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</si>
  <si>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</si>
  <si>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</si>
  <si>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</si>
  <si>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</si>
  <si>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</si>
  <si>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</si>
  <si>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</si>
  <si>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</si>
  <si>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</si>
  <si>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</si>
  <si>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</si>
  <si>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NAGER</t>
  </si>
</sst>
</file>

<file path=xl/styles.xml><?xml version="1.0" encoding="utf-8"?>
<styleSheet xmlns="http://schemas.openxmlformats.org/spreadsheetml/2006/main">
  <numFmts count="6">
    <numFmt numFmtId="43" formatCode="_-* #,##0.00\ _€_-;\-* #,##0.00\ _€_-;_-* &quot;-&quot;??\ _€_-;_-@_-"/>
    <numFmt numFmtId="164" formatCode="[$-40C]d\-mmm\-yy;@"/>
    <numFmt numFmtId="165" formatCode="d/m;@"/>
    <numFmt numFmtId="166" formatCode="#&quot; &quot;00&quot; &quot;00&quot; &quot;00"/>
    <numFmt numFmtId="167" formatCode="0#&quot; &quot;##&quot; &quot;##&quot; &quot;##&quot; &quot;##"/>
    <numFmt numFmtId="168" formatCode="[$-F800]dddd\,\ mmmm\ dd\,\ yyyy"/>
  </numFmts>
  <fonts count="6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color indexed="8"/>
      <name val="Calibri"/>
      <family val="2"/>
    </font>
    <font>
      <b/>
      <sz val="14"/>
      <color indexed="8"/>
      <name val="Calibri"/>
      <family val="2"/>
    </font>
    <font>
      <sz val="13"/>
      <color indexed="8"/>
      <name val="Calibri"/>
      <family val="1"/>
    </font>
    <font>
      <sz val="12"/>
      <name val="Calibri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indexed="8"/>
      <name val="Calibri"/>
      <family val="2"/>
    </font>
    <font>
      <sz val="12"/>
      <color theme="1"/>
      <name val="Arial"/>
      <family val="2"/>
    </font>
    <font>
      <i/>
      <sz val="9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4"/>
      <name val="Calibri"/>
      <family val="2"/>
    </font>
    <font>
      <sz val="12"/>
      <name val="Calibri"/>
      <family val="2"/>
      <scheme val="minor"/>
    </font>
    <font>
      <b/>
      <sz val="12"/>
      <name val="Calibri"/>
      <family val="2"/>
    </font>
    <font>
      <sz val="10"/>
      <color theme="1"/>
      <name val="Arial Unicode MS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3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0"/>
      <name val="Arial"/>
      <family val="2"/>
    </font>
    <font>
      <i/>
      <sz val="11"/>
      <color theme="1"/>
      <name val="Arial"/>
      <family val="2"/>
    </font>
    <font>
      <u/>
      <sz val="11"/>
      <color theme="10"/>
      <name val="Calibri"/>
      <family val="2"/>
    </font>
    <font>
      <sz val="12"/>
      <color rgb="FF000000"/>
      <name val="Calibri"/>
      <family val="2"/>
    </font>
    <font>
      <sz val="10"/>
      <color theme="1"/>
      <name val="Courier New"/>
      <family val="3"/>
    </font>
    <font>
      <b/>
      <sz val="1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  <scheme val="minor"/>
    </font>
    <font>
      <sz val="12"/>
      <color theme="1"/>
      <name val="Cambria"/>
      <family val="1"/>
      <scheme val="major"/>
    </font>
    <font>
      <sz val="12"/>
      <color rgb="FF000000"/>
      <name val="Cambria"/>
      <family val="1"/>
      <scheme val="major"/>
    </font>
    <font>
      <u/>
      <sz val="12"/>
      <color theme="10"/>
      <name val="Cambria"/>
      <family val="1"/>
      <scheme val="major"/>
    </font>
    <font>
      <b/>
      <sz val="10"/>
      <color indexed="8"/>
      <name val="Calibri"/>
      <family val="2"/>
    </font>
    <font>
      <sz val="9.35"/>
      <color theme="1"/>
      <name val="Calibri"/>
      <family val="2"/>
      <scheme val="minor"/>
    </font>
    <font>
      <b/>
      <sz val="12"/>
      <color theme="8" tint="0.59999389629810485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sz val="14"/>
      <color indexed="8"/>
      <name val="Calibri"/>
      <family val="2"/>
    </font>
    <font>
      <b/>
      <sz val="11"/>
      <name val="Arial"/>
      <family val="2"/>
    </font>
    <font>
      <sz val="12"/>
      <name val="Arial"/>
      <family val="2"/>
    </font>
    <font>
      <sz val="11"/>
      <color theme="2" tint="-0.499984740745262"/>
      <name val="Calibri"/>
      <family val="2"/>
      <scheme val="minor"/>
    </font>
    <font>
      <sz val="11"/>
      <color theme="9" tint="0.39997558519241921"/>
      <name val="Calibri"/>
      <family val="2"/>
      <scheme val="minor"/>
    </font>
    <font>
      <b/>
      <sz val="14"/>
      <color theme="6" tint="-0.499984740745262"/>
      <name val="Calibri"/>
      <family val="2"/>
    </font>
    <font>
      <b/>
      <sz val="13"/>
      <color theme="6" tint="-0.499984740745262"/>
      <name val="Calibri"/>
      <family val="2"/>
    </font>
    <font>
      <b/>
      <sz val="11"/>
      <color theme="6" tint="-0.499984740745262"/>
      <name val="Calibri"/>
      <family val="2"/>
      <scheme val="minor"/>
    </font>
    <font>
      <b/>
      <sz val="13"/>
      <color theme="3" tint="0.3999755851924192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2"/>
      <color rgb="FF92D050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u/>
      <sz val="13"/>
      <color theme="4" tint="0.39997558519241921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4"/>
      <color theme="9" tint="-0.249977111117893"/>
      <name val="Calibri"/>
      <family val="2"/>
      <scheme val="minor"/>
    </font>
    <font>
      <sz val="10"/>
      <name val="3"/>
    </font>
    <font>
      <sz val="10"/>
      <color indexed="22"/>
      <name val="3"/>
    </font>
    <font>
      <b/>
      <sz val="22"/>
      <name val="3"/>
    </font>
    <font>
      <b/>
      <sz val="12"/>
      <name val="3"/>
    </font>
    <font>
      <i/>
      <sz val="36"/>
      <name val="Arial Black"/>
      <family val="2"/>
    </font>
    <font>
      <sz val="10"/>
      <color indexed="9"/>
      <name val="3"/>
    </font>
    <font>
      <sz val="10"/>
      <color indexed="12"/>
      <name val="3"/>
    </font>
  </fonts>
  <fills count="4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4DCDE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0F1B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DBF5E2"/>
        <bgColor indexed="64"/>
      </patternFill>
    </fill>
    <fill>
      <patternFill patternType="solid">
        <fgColor theme="0" tint="-0.34998626667073579"/>
        <bgColor indexed="64"/>
      </patternFill>
    </fill>
  </fills>
  <borders count="1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dotted">
        <color auto="1"/>
      </left>
      <right/>
      <top style="medium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ck">
        <color rgb="FFFF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rgb="FFFF0000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ck">
        <color rgb="FFFF0000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4" fillId="0" borderId="0"/>
    <xf numFmtId="0" fontId="26" fillId="0" borderId="0" applyNumberFormat="0" applyFill="0" applyBorder="0" applyAlignment="0" applyProtection="0">
      <alignment vertical="top"/>
      <protection locked="0"/>
    </xf>
    <xf numFmtId="0" fontId="59" fillId="0" borderId="0"/>
  </cellStyleXfs>
  <cellXfs count="562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Border="1" applyProtection="1">
      <protection hidden="1"/>
    </xf>
    <xf numFmtId="0" fontId="0" fillId="0" borderId="0" xfId="0" applyAlignment="1" applyProtection="1">
      <protection hidden="1"/>
    </xf>
    <xf numFmtId="14" fontId="0" fillId="0" borderId="0" xfId="0" applyNumberFormat="1" applyProtection="1">
      <protection hidden="1"/>
    </xf>
    <xf numFmtId="0" fontId="0" fillId="0" borderId="0" xfId="0" applyFill="1" applyProtection="1">
      <protection hidden="1"/>
    </xf>
    <xf numFmtId="0" fontId="12" fillId="5" borderId="30" xfId="0" applyNumberFormat="1" applyFont="1" applyFill="1" applyBorder="1" applyAlignment="1" applyProtection="1">
      <alignment horizontal="left" vertical="center"/>
      <protection hidden="1"/>
    </xf>
    <xf numFmtId="0" fontId="9" fillId="6" borderId="31" xfId="0" applyFont="1" applyFill="1" applyBorder="1" applyProtection="1">
      <protection hidden="1"/>
    </xf>
    <xf numFmtId="49" fontId="4" fillId="9" borderId="0" xfId="0" applyNumberFormat="1" applyFont="1" applyFill="1" applyBorder="1" applyAlignment="1" applyProtection="1">
      <alignment horizontal="left" vertical="center"/>
      <protection hidden="1"/>
    </xf>
    <xf numFmtId="0" fontId="0" fillId="3" borderId="0" xfId="0" applyFill="1" applyProtection="1">
      <protection hidden="1"/>
    </xf>
    <xf numFmtId="0" fontId="4" fillId="9" borderId="0" xfId="0" applyNumberFormat="1" applyFont="1" applyFill="1" applyBorder="1" applyAlignment="1" applyProtection="1">
      <alignment horizontal="left" vertical="center"/>
      <protection hidden="1"/>
    </xf>
    <xf numFmtId="0" fontId="7" fillId="3" borderId="0" xfId="0" applyFont="1" applyFill="1" applyProtection="1">
      <protection hidden="1"/>
    </xf>
    <xf numFmtId="0" fontId="12" fillId="0" borderId="0" xfId="0" applyNumberFormat="1" applyFont="1" applyFill="1" applyBorder="1" applyAlignment="1" applyProtection="1">
      <alignment horizontal="left" vertical="center"/>
      <protection hidden="1"/>
    </xf>
    <xf numFmtId="0" fontId="6" fillId="0" borderId="0" xfId="0" applyFont="1" applyFill="1" applyProtection="1">
      <protection hidden="1"/>
    </xf>
    <xf numFmtId="165" fontId="0" fillId="0" borderId="0" xfId="0" applyNumberFormat="1" applyProtection="1">
      <protection hidden="1"/>
    </xf>
    <xf numFmtId="0" fontId="8" fillId="7" borderId="35" xfId="0" applyFont="1" applyFill="1" applyBorder="1" applyAlignment="1" applyProtection="1">
      <alignment horizontal="left"/>
      <protection hidden="1"/>
    </xf>
    <xf numFmtId="164" fontId="11" fillId="16" borderId="35" xfId="0" applyNumberFormat="1" applyFont="1" applyFill="1" applyBorder="1" applyAlignment="1" applyProtection="1">
      <alignment horizontal="center" vertical="center"/>
      <protection hidden="1"/>
    </xf>
    <xf numFmtId="164" fontId="11" fillId="17" borderId="35" xfId="0" applyNumberFormat="1" applyFont="1" applyFill="1" applyBorder="1" applyAlignment="1" applyProtection="1">
      <alignment horizontal="center" vertical="center"/>
      <protection hidden="1"/>
    </xf>
    <xf numFmtId="0" fontId="6" fillId="5" borderId="20" xfId="0" applyFont="1" applyFill="1" applyBorder="1" applyProtection="1">
      <protection hidden="1"/>
    </xf>
    <xf numFmtId="0" fontId="9" fillId="5" borderId="21" xfId="0" applyFont="1" applyFill="1" applyBorder="1" applyAlignment="1" applyProtection="1">
      <protection hidden="1"/>
    </xf>
    <xf numFmtId="0" fontId="8" fillId="6" borderId="22" xfId="0" applyFont="1" applyFill="1" applyBorder="1" applyProtection="1">
      <protection hidden="1"/>
    </xf>
    <xf numFmtId="0" fontId="8" fillId="6" borderId="21" xfId="0" applyFont="1" applyFill="1" applyBorder="1" applyAlignment="1" applyProtection="1">
      <protection hidden="1"/>
    </xf>
    <xf numFmtId="0" fontId="8" fillId="6" borderId="23" xfId="0" applyFont="1" applyFill="1" applyBorder="1" applyProtection="1">
      <protection hidden="1"/>
    </xf>
    <xf numFmtId="0" fontId="8" fillId="6" borderId="0" xfId="0" applyFont="1" applyFill="1" applyAlignment="1" applyProtection="1">
      <alignment horizontal="left"/>
      <protection hidden="1"/>
    </xf>
    <xf numFmtId="0" fontId="9" fillId="2" borderId="32" xfId="0" applyFont="1" applyFill="1" applyBorder="1" applyAlignment="1" applyProtection="1">
      <protection hidden="1"/>
    </xf>
    <xf numFmtId="0" fontId="8" fillId="9" borderId="26" xfId="0" applyFont="1" applyFill="1" applyBorder="1" applyProtection="1">
      <protection hidden="1"/>
    </xf>
    <xf numFmtId="0" fontId="0" fillId="9" borderId="27" xfId="0" applyFill="1" applyBorder="1" applyAlignment="1" applyProtection="1">
      <alignment horizontal="left"/>
      <protection hidden="1"/>
    </xf>
    <xf numFmtId="0" fontId="8" fillId="9" borderId="28" xfId="0" applyFont="1" applyFill="1" applyBorder="1" applyProtection="1">
      <protection hidden="1"/>
    </xf>
    <xf numFmtId="0" fontId="9" fillId="10" borderId="32" xfId="0" applyFont="1" applyFill="1" applyBorder="1" applyAlignment="1" applyProtection="1">
      <protection hidden="1"/>
    </xf>
    <xf numFmtId="0" fontId="9" fillId="13" borderId="10" xfId="0" applyFont="1" applyFill="1" applyBorder="1" applyAlignment="1" applyProtection="1">
      <protection hidden="1"/>
    </xf>
    <xf numFmtId="0" fontId="8" fillId="13" borderId="38" xfId="0" applyFont="1" applyFill="1" applyBorder="1" applyProtection="1">
      <protection hidden="1"/>
    </xf>
    <xf numFmtId="0" fontId="8" fillId="11" borderId="38" xfId="0" applyFont="1" applyFill="1" applyBorder="1" applyProtection="1">
      <protection hidden="1"/>
    </xf>
    <xf numFmtId="0" fontId="9" fillId="4" borderId="8" xfId="0" applyFont="1" applyFill="1" applyBorder="1" applyAlignment="1" applyProtection="1">
      <protection hidden="1"/>
    </xf>
    <xf numFmtId="0" fontId="9" fillId="4" borderId="7" xfId="0" applyFont="1" applyFill="1" applyBorder="1" applyAlignment="1" applyProtection="1">
      <protection hidden="1"/>
    </xf>
    <xf numFmtId="0" fontId="8" fillId="12" borderId="24" xfId="0" applyFont="1" applyFill="1" applyBorder="1" applyProtection="1">
      <protection hidden="1"/>
    </xf>
    <xf numFmtId="0" fontId="8" fillId="12" borderId="25" xfId="0" applyFont="1" applyFill="1" applyBorder="1" applyAlignment="1" applyProtection="1">
      <alignment horizontal="left"/>
      <protection hidden="1"/>
    </xf>
    <xf numFmtId="0" fontId="8" fillId="12" borderId="26" xfId="0" applyFont="1" applyFill="1" applyBorder="1" applyProtection="1">
      <protection hidden="1"/>
    </xf>
    <xf numFmtId="0" fontId="8" fillId="12" borderId="28" xfId="0" applyFont="1" applyFill="1" applyBorder="1" applyProtection="1">
      <protection hidden="1"/>
    </xf>
    <xf numFmtId="0" fontId="8" fillId="12" borderId="29" xfId="0" applyFont="1" applyFill="1" applyBorder="1" applyAlignment="1" applyProtection="1">
      <alignment horizontal="left"/>
      <protection hidden="1"/>
    </xf>
    <xf numFmtId="0" fontId="8" fillId="18" borderId="24" xfId="0" applyFont="1" applyFill="1" applyBorder="1" applyProtection="1">
      <protection hidden="1"/>
    </xf>
    <xf numFmtId="0" fontId="8" fillId="7" borderId="25" xfId="0" applyFont="1" applyFill="1" applyBorder="1" applyAlignment="1" applyProtection="1">
      <alignment horizontal="center"/>
      <protection hidden="1"/>
    </xf>
    <xf numFmtId="0" fontId="8" fillId="18" borderId="26" xfId="0" applyFont="1" applyFill="1" applyBorder="1" applyProtection="1">
      <protection hidden="1"/>
    </xf>
    <xf numFmtId="0" fontId="8" fillId="7" borderId="27" xfId="0" applyFont="1" applyFill="1" applyBorder="1" applyAlignment="1" applyProtection="1">
      <alignment horizontal="center"/>
      <protection hidden="1"/>
    </xf>
    <xf numFmtId="0" fontId="8" fillId="18" borderId="28" xfId="0" applyFont="1" applyFill="1" applyBorder="1" applyProtection="1">
      <protection hidden="1"/>
    </xf>
    <xf numFmtId="0" fontId="8" fillId="7" borderId="29" xfId="0" applyFont="1" applyFill="1" applyBorder="1" applyAlignment="1" applyProtection="1">
      <alignment horizontal="center"/>
      <protection hidden="1"/>
    </xf>
    <xf numFmtId="0" fontId="8" fillId="20" borderId="7" xfId="0" applyFont="1" applyFill="1" applyBorder="1" applyProtection="1">
      <protection hidden="1"/>
    </xf>
    <xf numFmtId="0" fontId="8" fillId="6" borderId="44" xfId="0" applyFont="1" applyFill="1" applyBorder="1" applyProtection="1">
      <protection hidden="1"/>
    </xf>
    <xf numFmtId="0" fontId="8" fillId="6" borderId="42" xfId="0" applyFont="1" applyFill="1" applyBorder="1" applyProtection="1">
      <protection hidden="1"/>
    </xf>
    <xf numFmtId="0" fontId="8" fillId="6" borderId="43" xfId="0" applyFont="1" applyFill="1" applyBorder="1" applyProtection="1">
      <protection hidden="1"/>
    </xf>
    <xf numFmtId="0" fontId="0" fillId="7" borderId="30" xfId="0" applyFill="1" applyBorder="1" applyAlignment="1" applyProtection="1">
      <alignment horizontal="center"/>
      <protection hidden="1"/>
    </xf>
    <xf numFmtId="0" fontId="0" fillId="7" borderId="31" xfId="0" applyFill="1" applyBorder="1" applyAlignment="1" applyProtection="1">
      <alignment horizontal="center"/>
      <protection hidden="1"/>
    </xf>
    <xf numFmtId="0" fontId="0" fillId="7" borderId="26" xfId="0" applyFill="1" applyBorder="1" applyAlignment="1" applyProtection="1">
      <alignment horizontal="center"/>
      <protection hidden="1"/>
    </xf>
    <xf numFmtId="0" fontId="0" fillId="7" borderId="27" xfId="0" applyFill="1" applyBorder="1" applyAlignment="1" applyProtection="1">
      <alignment horizontal="center"/>
      <protection hidden="1"/>
    </xf>
    <xf numFmtId="0" fontId="0" fillId="0" borderId="0" xfId="0" applyNumberFormat="1" applyFill="1" applyProtection="1">
      <protection hidden="1"/>
    </xf>
    <xf numFmtId="0" fontId="0" fillId="0" borderId="0" xfId="0" applyAlignment="1">
      <alignment horizontal="center" vertical="center"/>
    </xf>
    <xf numFmtId="0" fontId="0" fillId="0" borderId="0" xfId="0" applyFill="1" applyBorder="1" applyProtection="1">
      <protection hidden="1"/>
    </xf>
    <xf numFmtId="0" fontId="0" fillId="0" borderId="0" xfId="0"/>
    <xf numFmtId="0" fontId="0" fillId="0" borderId="4" xfId="0" applyBorder="1"/>
    <xf numFmtId="0" fontId="0" fillId="0" borderId="0" xfId="0" applyAlignment="1">
      <alignment vertical="center"/>
    </xf>
    <xf numFmtId="0" fontId="0" fillId="0" borderId="0" xfId="0" applyFill="1" applyBorder="1" applyAlignment="1" applyProtection="1">
      <alignment horizontal="left"/>
      <protection hidden="1"/>
    </xf>
    <xf numFmtId="0" fontId="0" fillId="18" borderId="0" xfId="0" applyFill="1" applyAlignment="1" applyProtection="1">
      <alignment horizontal="center"/>
      <protection hidden="1"/>
    </xf>
    <xf numFmtId="0" fontId="9" fillId="19" borderId="59" xfId="0" applyFont="1" applyFill="1" applyBorder="1" applyAlignment="1" applyProtection="1">
      <alignment horizontal="center" vertical="center"/>
      <protection hidden="1"/>
    </xf>
    <xf numFmtId="0" fontId="9" fillId="19" borderId="60" xfId="0" applyFont="1" applyFill="1" applyBorder="1" applyAlignment="1" applyProtection="1">
      <alignment horizontal="center" vertical="center"/>
      <protection hidden="1"/>
    </xf>
    <xf numFmtId="0" fontId="8" fillId="29" borderId="50" xfId="0" applyFont="1" applyFill="1" applyBorder="1" applyAlignment="1" applyProtection="1">
      <alignment vertical="center"/>
      <protection hidden="1"/>
    </xf>
    <xf numFmtId="0" fontId="8" fillId="29" borderId="48" xfId="0" applyFont="1" applyFill="1" applyBorder="1" applyAlignment="1" applyProtection="1">
      <alignment vertical="center"/>
      <protection hidden="1"/>
    </xf>
    <xf numFmtId="0" fontId="8" fillId="29" borderId="61" xfId="0" applyFont="1" applyFill="1" applyBorder="1" applyAlignment="1" applyProtection="1">
      <alignment vertical="center"/>
      <protection hidden="1"/>
    </xf>
    <xf numFmtId="49" fontId="8" fillId="30" borderId="49" xfId="0" applyNumberFormat="1" applyFont="1" applyFill="1" applyBorder="1" applyAlignment="1" applyProtection="1">
      <alignment horizontal="center" vertical="center"/>
      <protection hidden="1"/>
    </xf>
    <xf numFmtId="0" fontId="9" fillId="6" borderId="29" xfId="0" applyFont="1" applyFill="1" applyBorder="1" applyAlignment="1" applyProtection="1">
      <alignment horizontal="right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9" fillId="15" borderId="59" xfId="0" applyFont="1" applyFill="1" applyBorder="1" applyAlignment="1" applyProtection="1">
      <alignment horizontal="center" vertical="center"/>
      <protection hidden="1"/>
    </xf>
    <xf numFmtId="0" fontId="8" fillId="29" borderId="48" xfId="0" applyFont="1" applyFill="1" applyBorder="1" applyProtection="1">
      <protection hidden="1"/>
    </xf>
    <xf numFmtId="0" fontId="8" fillId="29" borderId="63" xfId="0" applyFont="1" applyFill="1" applyBorder="1" applyProtection="1">
      <protection hidden="1"/>
    </xf>
    <xf numFmtId="49" fontId="8" fillId="30" borderId="64" xfId="0" applyNumberFormat="1" applyFont="1" applyFill="1" applyBorder="1" applyAlignment="1" applyProtection="1">
      <alignment horizontal="center" vertical="center"/>
      <protection hidden="1"/>
    </xf>
    <xf numFmtId="0" fontId="0" fillId="9" borderId="29" xfId="0" applyFill="1" applyBorder="1" applyAlignment="1" applyProtection="1">
      <alignment horizontal="left"/>
      <protection hidden="1"/>
    </xf>
    <xf numFmtId="0" fontId="7" fillId="0" borderId="0" xfId="0" applyFont="1"/>
    <xf numFmtId="0" fontId="0" fillId="0" borderId="15" xfId="0" applyNumberFormat="1" applyBorder="1" applyAlignment="1" applyProtection="1">
      <alignment horizontal="center" vertical="center"/>
      <protection hidden="1"/>
    </xf>
    <xf numFmtId="0" fontId="0" fillId="0" borderId="17" xfId="0" applyNumberFormat="1" applyBorder="1" applyAlignment="1" applyProtection="1">
      <alignment horizontal="center" vertical="center"/>
      <protection hidden="1"/>
    </xf>
    <xf numFmtId="0" fontId="0" fillId="0" borderId="18" xfId="0" applyNumberFormat="1" applyFill="1" applyBorder="1" applyAlignment="1" applyProtection="1">
      <alignment horizontal="center" vertical="center"/>
      <protection hidden="1"/>
    </xf>
    <xf numFmtId="0" fontId="0" fillId="0" borderId="19" xfId="0" applyNumberFormat="1" applyBorder="1" applyAlignment="1" applyProtection="1">
      <alignment horizontal="center" vertical="center"/>
      <protection hidden="1"/>
    </xf>
    <xf numFmtId="0" fontId="0" fillId="18" borderId="67" xfId="0" applyNumberFormat="1" applyFill="1" applyBorder="1" applyAlignment="1" applyProtection="1">
      <alignment horizontal="center" vertical="center"/>
      <protection hidden="1"/>
    </xf>
    <xf numFmtId="0" fontId="0" fillId="18" borderId="68" xfId="0" applyNumberFormat="1" applyFill="1" applyBorder="1" applyAlignment="1" applyProtection="1">
      <alignment horizontal="center" vertical="center"/>
      <protection hidden="1"/>
    </xf>
    <xf numFmtId="0" fontId="20" fillId="29" borderId="48" xfId="0" applyFont="1" applyFill="1" applyBorder="1" applyAlignment="1" applyProtection="1">
      <alignment horizontal="center" vertical="center"/>
      <protection hidden="1"/>
    </xf>
    <xf numFmtId="0" fontId="20" fillId="30" borderId="49" xfId="0" applyFont="1" applyFill="1" applyBorder="1" applyAlignment="1" applyProtection="1">
      <alignment horizontal="center" vertical="center"/>
      <protection hidden="1"/>
    </xf>
    <xf numFmtId="0" fontId="4" fillId="12" borderId="15" xfId="0" applyNumberFormat="1" applyFont="1" applyFill="1" applyBorder="1" applyAlignment="1" applyProtection="1">
      <alignment horizontal="left" vertical="center"/>
      <protection hidden="1"/>
    </xf>
    <xf numFmtId="0" fontId="4" fillId="29" borderId="17" xfId="0" applyNumberFormat="1" applyFont="1" applyFill="1" applyBorder="1" applyAlignment="1" applyProtection="1">
      <alignment horizontal="left" vertical="center"/>
      <protection hidden="1"/>
    </xf>
    <xf numFmtId="0" fontId="11" fillId="12" borderId="15" xfId="0" applyFont="1" applyFill="1" applyBorder="1" applyAlignment="1" applyProtection="1">
      <alignment horizontal="left"/>
      <protection hidden="1"/>
    </xf>
    <xf numFmtId="0" fontId="11" fillId="29" borderId="17" xfId="0" applyFont="1" applyFill="1" applyBorder="1" applyAlignment="1" applyProtection="1">
      <alignment horizontal="left"/>
      <protection hidden="1"/>
    </xf>
    <xf numFmtId="0" fontId="4" fillId="12" borderId="15" xfId="0" applyNumberFormat="1" applyFont="1" applyFill="1" applyBorder="1" applyAlignment="1" applyProtection="1">
      <alignment vertical="center"/>
      <protection hidden="1"/>
    </xf>
    <xf numFmtId="0" fontId="4" fillId="29" borderId="17" xfId="0" applyNumberFormat="1" applyFont="1" applyFill="1" applyBorder="1" applyAlignment="1" applyProtection="1">
      <alignment vertical="center"/>
      <protection hidden="1"/>
    </xf>
    <xf numFmtId="0" fontId="4" fillId="12" borderId="18" xfId="0" applyNumberFormat="1" applyFont="1" applyFill="1" applyBorder="1" applyAlignment="1" applyProtection="1">
      <alignment vertical="center"/>
      <protection hidden="1"/>
    </xf>
    <xf numFmtId="0" fontId="4" fillId="29" borderId="19" xfId="0" applyNumberFormat="1" applyFont="1" applyFill="1" applyBorder="1" applyAlignment="1" applyProtection="1">
      <alignment vertical="center"/>
      <protection hidden="1"/>
    </xf>
    <xf numFmtId="0" fontId="4" fillId="12" borderId="36" xfId="0" applyNumberFormat="1" applyFont="1" applyFill="1" applyBorder="1" applyAlignment="1" applyProtection="1">
      <alignment horizontal="left" vertical="center"/>
      <protection hidden="1"/>
    </xf>
    <xf numFmtId="0" fontId="4" fillId="29" borderId="37" xfId="0" applyNumberFormat="1" applyFont="1" applyFill="1" applyBorder="1" applyAlignment="1" applyProtection="1">
      <alignment horizontal="left" vertical="center"/>
      <protection hidden="1"/>
    </xf>
    <xf numFmtId="0" fontId="9" fillId="7" borderId="71" xfId="0" applyFont="1" applyFill="1" applyBorder="1" applyAlignment="1" applyProtection="1">
      <protection hidden="1"/>
    </xf>
    <xf numFmtId="0" fontId="8" fillId="29" borderId="72" xfId="0" applyFont="1" applyFill="1" applyBorder="1" applyAlignment="1" applyProtection="1">
      <alignment horizontal="left"/>
      <protection hidden="1"/>
    </xf>
    <xf numFmtId="166" fontId="0" fillId="9" borderId="75" xfId="0" applyNumberFormat="1" applyFill="1" applyBorder="1" applyAlignment="1" applyProtection="1">
      <alignment horizontal="left" vertical="center"/>
      <protection locked="0"/>
    </xf>
    <xf numFmtId="0" fontId="0" fillId="9" borderId="76" xfId="0" applyFill="1" applyBorder="1" applyAlignment="1" applyProtection="1">
      <alignment horizontal="center" vertical="center"/>
      <protection locked="0"/>
    </xf>
    <xf numFmtId="0" fontId="0" fillId="9" borderId="73" xfId="0" applyFont="1" applyFill="1" applyBorder="1" applyAlignment="1" applyProtection="1">
      <alignment horizontal="left" vertical="center"/>
      <protection locked="0"/>
    </xf>
    <xf numFmtId="166" fontId="0" fillId="9" borderId="73" xfId="0" applyNumberFormat="1" applyFill="1" applyBorder="1" applyAlignment="1" applyProtection="1">
      <alignment horizontal="left" vertical="center"/>
      <protection locked="0"/>
    </xf>
    <xf numFmtId="0" fontId="0" fillId="9" borderId="73" xfId="0" applyFill="1" applyBorder="1" applyAlignment="1" applyProtection="1">
      <alignment horizontal="left" vertical="center"/>
      <protection locked="0"/>
    </xf>
    <xf numFmtId="0" fontId="0" fillId="9" borderId="78" xfId="0" applyFill="1" applyBorder="1" applyAlignment="1" applyProtection="1">
      <alignment horizontal="center" vertical="center"/>
      <protection locked="0"/>
    </xf>
    <xf numFmtId="0" fontId="0" fillId="9" borderId="80" xfId="0" applyFont="1" applyFill="1" applyBorder="1" applyAlignment="1" applyProtection="1">
      <alignment horizontal="left" vertical="center"/>
      <protection locked="0"/>
    </xf>
    <xf numFmtId="166" fontId="0" fillId="9" borderId="80" xfId="0" applyNumberFormat="1" applyFill="1" applyBorder="1" applyAlignment="1" applyProtection="1">
      <alignment horizontal="left" vertical="center"/>
      <protection locked="0"/>
    </xf>
    <xf numFmtId="0" fontId="0" fillId="9" borderId="81" xfId="0" applyFill="1" applyBorder="1" applyAlignment="1" applyProtection="1">
      <alignment horizontal="center" vertical="center"/>
      <protection locked="0"/>
    </xf>
    <xf numFmtId="0" fontId="8" fillId="8" borderId="38" xfId="0" applyFont="1" applyFill="1" applyBorder="1" applyProtection="1">
      <protection hidden="1"/>
    </xf>
    <xf numFmtId="0" fontId="8" fillId="8" borderId="39" xfId="0" applyFont="1" applyFill="1" applyBorder="1" applyProtection="1">
      <protection hidden="1"/>
    </xf>
    <xf numFmtId="0" fontId="0" fillId="8" borderId="16" xfId="0" applyFont="1" applyFill="1" applyBorder="1" applyAlignment="1" applyProtection="1">
      <alignment horizontal="left"/>
      <protection hidden="1"/>
    </xf>
    <xf numFmtId="0" fontId="8" fillId="18" borderId="0" xfId="0" applyFont="1" applyFill="1" applyBorder="1" applyAlignment="1" applyProtection="1">
      <alignment horizontal="center"/>
      <protection hidden="1"/>
    </xf>
    <xf numFmtId="0" fontId="7" fillId="2" borderId="13" xfId="0" applyFont="1" applyFill="1" applyBorder="1" applyAlignment="1" applyProtection="1">
      <alignment horizontal="center" vertical="center"/>
      <protection hidden="1"/>
    </xf>
    <xf numFmtId="0" fontId="7" fillId="2" borderId="14" xfId="0" applyFont="1" applyFill="1" applyBorder="1" applyAlignment="1" applyProtection="1">
      <alignment horizontal="center" vertical="center"/>
      <protection hidden="1"/>
    </xf>
    <xf numFmtId="0" fontId="8" fillId="12" borderId="24" xfId="0" applyFont="1" applyFill="1" applyBorder="1" applyAlignment="1" applyProtection="1">
      <alignment horizontal="center"/>
      <protection hidden="1"/>
    </xf>
    <xf numFmtId="0" fontId="0" fillId="8" borderId="16" xfId="0" applyFill="1" applyBorder="1" applyAlignment="1" applyProtection="1">
      <alignment horizontal="left"/>
      <protection hidden="1"/>
    </xf>
    <xf numFmtId="0" fontId="0" fillId="8" borderId="16" xfId="0" applyFill="1" applyBorder="1" applyAlignment="1" applyProtection="1">
      <protection hidden="1"/>
    </xf>
    <xf numFmtId="0" fontId="8" fillId="30" borderId="58" xfId="0" applyNumberFormat="1" applyFont="1" applyFill="1" applyBorder="1" applyAlignment="1" applyProtection="1">
      <alignment horizontal="center" vertical="center"/>
      <protection hidden="1"/>
    </xf>
    <xf numFmtId="0" fontId="8" fillId="30" borderId="49" xfId="0" applyNumberFormat="1" applyFont="1" applyFill="1" applyBorder="1" applyAlignment="1" applyProtection="1">
      <alignment horizontal="center" vertical="center"/>
      <protection hidden="1"/>
    </xf>
    <xf numFmtId="0" fontId="8" fillId="30" borderId="62" xfId="0" applyNumberFormat="1" applyFont="1" applyFill="1" applyBorder="1" applyAlignment="1" applyProtection="1">
      <alignment horizontal="center" vertical="center"/>
      <protection hidden="1"/>
    </xf>
    <xf numFmtId="0" fontId="0" fillId="31" borderId="0" xfId="0" applyFill="1" applyAlignment="1" applyProtection="1">
      <alignment horizontal="center" vertical="center"/>
      <protection hidden="1"/>
    </xf>
    <xf numFmtId="0" fontId="6" fillId="14" borderId="0" xfId="0" applyFont="1" applyFill="1" applyAlignment="1" applyProtection="1">
      <alignment horizontal="center" vertical="center"/>
      <protection hidden="1"/>
    </xf>
    <xf numFmtId="0" fontId="0" fillId="3" borderId="0" xfId="0" applyFill="1" applyAlignment="1" applyProtection="1">
      <alignment horizontal="center" vertical="center"/>
      <protection hidden="1"/>
    </xf>
    <xf numFmtId="0" fontId="9" fillId="15" borderId="82" xfId="0" applyFont="1" applyFill="1" applyBorder="1" applyAlignment="1" applyProtection="1">
      <alignment horizontal="center" vertical="center"/>
      <protection hidden="1"/>
    </xf>
    <xf numFmtId="0" fontId="9" fillId="15" borderId="83" xfId="0" applyFont="1" applyFill="1" applyBorder="1" applyAlignment="1" applyProtection="1">
      <alignment horizontal="center" vertical="center"/>
      <protection hidden="1"/>
    </xf>
    <xf numFmtId="0" fontId="8" fillId="20" borderId="8" xfId="0" applyFont="1" applyFill="1" applyBorder="1" applyProtection="1">
      <protection hidden="1"/>
    </xf>
    <xf numFmtId="0" fontId="8" fillId="6" borderId="10" xfId="0" applyFont="1" applyFill="1" applyBorder="1" applyProtection="1">
      <protection hidden="1"/>
    </xf>
    <xf numFmtId="0" fontId="8" fillId="6" borderId="38" xfId="0" applyFont="1" applyFill="1" applyBorder="1" applyProtection="1">
      <protection hidden="1"/>
    </xf>
    <xf numFmtId="0" fontId="9" fillId="15" borderId="84" xfId="0" applyFont="1" applyFill="1" applyBorder="1" applyAlignment="1" applyProtection="1">
      <alignment horizontal="center" vertical="center"/>
      <protection hidden="1"/>
    </xf>
    <xf numFmtId="0" fontId="8" fillId="6" borderId="85" xfId="0" applyNumberFormat="1" applyFont="1" applyFill="1" applyBorder="1" applyAlignment="1" applyProtection="1">
      <alignment horizontal="center" vertical="center"/>
      <protection hidden="1"/>
    </xf>
    <xf numFmtId="0" fontId="8" fillId="6" borderId="86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0" fontId="0" fillId="0" borderId="0" xfId="0" applyFill="1" applyBorder="1" applyAlignment="1" applyProtection="1">
      <protection hidden="1"/>
    </xf>
    <xf numFmtId="0" fontId="9" fillId="8" borderId="32" xfId="0" applyFont="1" applyFill="1" applyBorder="1" applyAlignment="1" applyProtection="1">
      <protection hidden="1"/>
    </xf>
    <xf numFmtId="0" fontId="9" fillId="8" borderId="33" xfId="0" applyFont="1" applyFill="1" applyBorder="1" applyAlignment="1" applyProtection="1">
      <protection hidden="1"/>
    </xf>
    <xf numFmtId="0" fontId="20" fillId="0" borderId="0" xfId="0" applyFont="1" applyFill="1" applyBorder="1" applyAlignment="1" applyProtection="1">
      <alignment horizontal="center" vertical="center"/>
      <protection hidden="1"/>
    </xf>
    <xf numFmtId="0" fontId="0" fillId="8" borderId="0" xfId="0" applyFill="1" applyProtection="1">
      <protection hidden="1"/>
    </xf>
    <xf numFmtId="0" fontId="0" fillId="7" borderId="28" xfId="0" applyNumberFormat="1" applyFill="1" applyBorder="1" applyAlignment="1" applyProtection="1">
      <alignment horizontal="center"/>
      <protection hidden="1"/>
    </xf>
    <xf numFmtId="0" fontId="0" fillId="5" borderId="34" xfId="0" applyFill="1" applyBorder="1" applyAlignment="1" applyProtection="1">
      <protection hidden="1"/>
    </xf>
    <xf numFmtId="0" fontId="0" fillId="5" borderId="87" xfId="0" applyFill="1" applyBorder="1" applyAlignment="1" applyProtection="1">
      <protection hidden="1"/>
    </xf>
    <xf numFmtId="0" fontId="7" fillId="2" borderId="88" xfId="0" applyFont="1" applyFill="1" applyBorder="1" applyAlignment="1" applyProtection="1">
      <alignment horizontal="center" vertical="center"/>
      <protection hidden="1"/>
    </xf>
    <xf numFmtId="0" fontId="26" fillId="0" borderId="16" xfId="3" applyBorder="1" applyAlignment="1" applyProtection="1">
      <alignment horizontal="left" vertical="center"/>
      <protection hidden="1"/>
    </xf>
    <xf numFmtId="0" fontId="13" fillId="0" borderId="17" xfId="0" applyFont="1" applyBorder="1" applyAlignment="1" applyProtection="1">
      <alignment horizontal="center" vertical="center"/>
      <protection hidden="1"/>
    </xf>
    <xf numFmtId="0" fontId="4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NumberFormat="1" applyFill="1" applyBorder="1" applyAlignment="1" applyProtection="1">
      <alignment horizontal="left"/>
      <protection hidden="1"/>
    </xf>
    <xf numFmtId="0" fontId="0" fillId="0" borderId="0" xfId="0" applyNumberFormat="1" applyFill="1" applyBorder="1" applyAlignment="1" applyProtection="1">
      <alignment horizontal="center" vertical="center"/>
      <protection hidden="1"/>
    </xf>
    <xf numFmtId="0" fontId="0" fillId="0" borderId="0" xfId="0" applyNumberFormat="1" applyBorder="1" applyAlignment="1" applyProtection="1">
      <alignment horizontal="center" vertical="center"/>
      <protection hidden="1"/>
    </xf>
    <xf numFmtId="0" fontId="8" fillId="6" borderId="89" xfId="0" applyFont="1" applyFill="1" applyBorder="1" applyProtection="1">
      <protection hidden="1"/>
    </xf>
    <xf numFmtId="0" fontId="0" fillId="8" borderId="22" xfId="0" applyFill="1" applyBorder="1" applyAlignment="1" applyProtection="1">
      <alignment horizontal="left"/>
      <protection hidden="1"/>
    </xf>
    <xf numFmtId="0" fontId="12" fillId="5" borderId="28" xfId="0" applyNumberFormat="1" applyFont="1" applyFill="1" applyBorder="1" applyAlignment="1" applyProtection="1">
      <alignment horizontal="left" vertical="center"/>
      <protection hidden="1"/>
    </xf>
    <xf numFmtId="0" fontId="0" fillId="0" borderId="0" xfId="0" applyFill="1" applyAlignment="1" applyProtection="1">
      <alignment horizontal="left" vertical="center"/>
      <protection hidden="1"/>
    </xf>
    <xf numFmtId="0" fontId="0" fillId="0" borderId="3" xfId="0" applyNumberFormat="1" applyFill="1" applyBorder="1" applyProtection="1">
      <protection hidden="1"/>
    </xf>
    <xf numFmtId="0" fontId="10" fillId="23" borderId="11" xfId="0" applyNumberFormat="1" applyFont="1" applyFill="1" applyBorder="1" applyAlignment="1" applyProtection="1">
      <alignment horizontal="center"/>
      <protection hidden="1"/>
    </xf>
    <xf numFmtId="0" fontId="10" fillId="35" borderId="8" xfId="0" applyNumberFormat="1" applyFont="1" applyFill="1" applyBorder="1" applyAlignment="1" applyProtection="1">
      <alignment horizontal="center"/>
      <protection hidden="1"/>
    </xf>
    <xf numFmtId="0" fontId="7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8" fillId="8" borderId="52" xfId="0" applyNumberFormat="1" applyFont="1" applyFill="1" applyBorder="1" applyAlignment="1">
      <alignment horizontal="left" vertical="center"/>
    </xf>
    <xf numFmtId="0" fontId="8" fillId="8" borderId="52" xfId="0" applyFont="1" applyFill="1" applyBorder="1" applyAlignment="1">
      <alignment horizontal="center" vertical="center"/>
    </xf>
    <xf numFmtId="166" fontId="8" fillId="8" borderId="52" xfId="0" applyNumberFormat="1" applyFont="1" applyFill="1" applyBorder="1" applyAlignment="1">
      <alignment horizontal="left" vertical="center"/>
    </xf>
    <xf numFmtId="0" fontId="8" fillId="8" borderId="90" xfId="0" applyFont="1" applyFill="1" applyBorder="1" applyAlignment="1">
      <alignment horizontal="center" vertical="center"/>
    </xf>
    <xf numFmtId="14" fontId="0" fillId="9" borderId="75" xfId="0" applyNumberFormat="1" applyFill="1" applyBorder="1" applyAlignment="1" applyProtection="1">
      <alignment horizontal="left" vertical="center"/>
      <protection locked="0"/>
    </xf>
    <xf numFmtId="49" fontId="0" fillId="9" borderId="75" xfId="0" applyNumberFormat="1" applyFont="1" applyFill="1" applyBorder="1" applyAlignment="1" applyProtection="1">
      <alignment horizontal="left" vertical="center"/>
      <protection locked="0"/>
    </xf>
    <xf numFmtId="0" fontId="0" fillId="9" borderId="73" xfId="0" applyNumberFormat="1" applyFill="1" applyBorder="1" applyAlignment="1" applyProtection="1">
      <alignment horizontal="left" vertical="center"/>
      <protection locked="0"/>
    </xf>
    <xf numFmtId="0" fontId="0" fillId="9" borderId="80" xfId="0" applyNumberFormat="1" applyFill="1" applyBorder="1" applyAlignment="1" applyProtection="1">
      <alignment horizontal="left" vertical="center"/>
      <protection locked="0"/>
    </xf>
    <xf numFmtId="0" fontId="25" fillId="0" borderId="0" xfId="0" applyFont="1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left"/>
    </xf>
    <xf numFmtId="49" fontId="0" fillId="9" borderId="75" xfId="0" applyNumberFormat="1" applyFill="1" applyBorder="1" applyAlignment="1" applyProtection="1">
      <alignment horizontal="left" vertical="center"/>
      <protection locked="0"/>
    </xf>
    <xf numFmtId="49" fontId="0" fillId="9" borderId="73" xfId="0" applyNumberFormat="1" applyFill="1" applyBorder="1" applyAlignment="1" applyProtection="1">
      <alignment horizontal="left" vertical="center"/>
      <protection locked="0"/>
    </xf>
    <xf numFmtId="49" fontId="0" fillId="9" borderId="80" xfId="0" applyNumberFormat="1" applyFill="1" applyBorder="1" applyAlignment="1" applyProtection="1">
      <alignment horizontal="left" vertical="center"/>
      <protection locked="0"/>
    </xf>
    <xf numFmtId="49" fontId="14" fillId="0" borderId="0" xfId="0" applyNumberFormat="1" applyFont="1" applyAlignment="1">
      <alignment horizontal="left"/>
    </xf>
    <xf numFmtId="0" fontId="7" fillId="0" borderId="0" xfId="0" applyFont="1" applyAlignment="1">
      <alignment horizontal="center"/>
    </xf>
    <xf numFmtId="0" fontId="0" fillId="9" borderId="91" xfId="0" applyFill="1" applyBorder="1" applyAlignment="1" applyProtection="1">
      <alignment horizontal="left" vertical="center"/>
      <protection locked="0"/>
    </xf>
    <xf numFmtId="0" fontId="0" fillId="9" borderId="92" xfId="0" applyFill="1" applyBorder="1" applyAlignment="1" applyProtection="1">
      <alignment horizontal="left" vertical="center"/>
      <protection locked="0"/>
    </xf>
    <xf numFmtId="0" fontId="0" fillId="9" borderId="93" xfId="0" applyFill="1" applyBorder="1" applyAlignment="1" applyProtection="1">
      <alignment horizontal="left" vertical="center"/>
      <protection locked="0"/>
    </xf>
    <xf numFmtId="0" fontId="8" fillId="8" borderId="9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7" borderId="29" xfId="0" applyNumberFormat="1" applyFill="1" applyBorder="1" applyAlignment="1" applyProtection="1">
      <alignment horizontal="center"/>
      <protection hidden="1"/>
    </xf>
    <xf numFmtId="0" fontId="8" fillId="0" borderId="0" xfId="0" applyNumberFormat="1" applyFont="1" applyAlignment="1">
      <alignment horizontal="left"/>
    </xf>
    <xf numFmtId="0" fontId="20" fillId="30" borderId="0" xfId="0" applyFont="1" applyFill="1" applyBorder="1" applyAlignment="1" applyProtection="1">
      <alignment horizontal="center" vertical="center"/>
      <protection hidden="1"/>
    </xf>
    <xf numFmtId="0" fontId="20" fillId="29" borderId="50" xfId="0" applyFont="1" applyFill="1" applyBorder="1" applyAlignment="1" applyProtection="1">
      <alignment horizontal="center" vertical="center"/>
      <protection hidden="1"/>
    </xf>
    <xf numFmtId="0" fontId="20" fillId="30" borderId="58" xfId="0" applyFont="1" applyFill="1" applyBorder="1" applyAlignment="1" applyProtection="1">
      <alignment horizontal="center" vertical="center"/>
      <protection hidden="1"/>
    </xf>
    <xf numFmtId="0" fontId="20" fillId="2" borderId="2" xfId="0" applyFont="1" applyFill="1" applyBorder="1" applyAlignment="1" applyProtection="1">
      <alignment horizontal="center" vertical="center"/>
      <protection hidden="1"/>
    </xf>
    <xf numFmtId="0" fontId="20" fillId="2" borderId="9" xfId="0" applyFont="1" applyFill="1" applyBorder="1" applyAlignment="1" applyProtection="1">
      <alignment horizontal="center" vertical="center"/>
      <protection hidden="1"/>
    </xf>
    <xf numFmtId="0" fontId="20" fillId="29" borderId="99" xfId="0" applyFont="1" applyFill="1" applyBorder="1" applyAlignment="1" applyProtection="1">
      <alignment horizontal="center" vertical="center"/>
      <protection hidden="1"/>
    </xf>
    <xf numFmtId="0" fontId="20" fillId="30" borderId="100" xfId="0" applyFont="1" applyFill="1" applyBorder="1" applyAlignment="1" applyProtection="1">
      <alignment horizontal="center" vertical="center"/>
      <protection hidden="1"/>
    </xf>
    <xf numFmtId="0" fontId="20" fillId="30" borderId="101" xfId="0" applyFont="1" applyFill="1" applyBorder="1" applyAlignment="1" applyProtection="1">
      <alignment horizontal="center" vertical="center"/>
      <protection hidden="1"/>
    </xf>
    <xf numFmtId="0" fontId="22" fillId="30" borderId="16" xfId="0" applyFont="1" applyFill="1" applyBorder="1" applyAlignment="1" applyProtection="1">
      <alignment horizontal="center" vertical="center"/>
      <protection hidden="1"/>
    </xf>
    <xf numFmtId="0" fontId="20" fillId="30" borderId="16" xfId="0" applyFont="1" applyFill="1" applyBorder="1" applyAlignment="1" applyProtection="1">
      <alignment horizontal="center" vertical="center"/>
      <protection hidden="1"/>
    </xf>
    <xf numFmtId="0" fontId="8" fillId="30" borderId="16" xfId="0" applyFont="1" applyFill="1" applyBorder="1" applyAlignment="1" applyProtection="1">
      <alignment vertical="center"/>
      <protection hidden="1"/>
    </xf>
    <xf numFmtId="0" fontId="32" fillId="30" borderId="16" xfId="0" applyFont="1" applyFill="1" applyBorder="1" applyAlignment="1" applyProtection="1">
      <alignment horizontal="center" vertical="center"/>
      <protection hidden="1"/>
    </xf>
    <xf numFmtId="0" fontId="20" fillId="29" borderId="0" xfId="0" applyFont="1" applyFill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vertical="center"/>
      <protection hidden="1"/>
    </xf>
    <xf numFmtId="0" fontId="13" fillId="0" borderId="0" xfId="0" applyFont="1" applyBorder="1" applyAlignment="1" applyProtection="1">
      <alignment horizontal="left" vertical="center"/>
      <protection hidden="1"/>
    </xf>
    <xf numFmtId="0" fontId="26" fillId="0" borderId="0" xfId="3" applyBorder="1" applyAlignment="1" applyProtection="1">
      <alignment horizontal="left" vertical="center"/>
      <protection hidden="1"/>
    </xf>
    <xf numFmtId="0" fontId="20" fillId="36" borderId="103" xfId="0" applyFont="1" applyFill="1" applyBorder="1" applyAlignment="1" applyProtection="1">
      <alignment vertical="center"/>
      <protection hidden="1"/>
    </xf>
    <xf numFmtId="0" fontId="20" fillId="0" borderId="104" xfId="0" applyFont="1" applyFill="1" applyBorder="1" applyAlignment="1" applyProtection="1">
      <alignment vertical="center"/>
      <protection hidden="1"/>
    </xf>
    <xf numFmtId="0" fontId="8" fillId="8" borderId="51" xfId="0" applyFont="1" applyFill="1" applyBorder="1" applyAlignment="1" applyProtection="1">
      <alignment horizontal="center" vertical="center"/>
      <protection hidden="1"/>
    </xf>
    <xf numFmtId="0" fontId="0" fillId="9" borderId="74" xfId="0" applyFill="1" applyBorder="1" applyAlignment="1" applyProtection="1">
      <alignment horizontal="center" vertical="center"/>
      <protection hidden="1"/>
    </xf>
    <xf numFmtId="0" fontId="0" fillId="9" borderId="77" xfId="0" applyFill="1" applyBorder="1" applyAlignment="1" applyProtection="1">
      <alignment horizontal="center" vertical="center"/>
      <protection hidden="1"/>
    </xf>
    <xf numFmtId="0" fontId="0" fillId="9" borderId="79" xfId="0" applyFill="1" applyBorder="1" applyAlignment="1" applyProtection="1">
      <alignment horizontal="center" vertical="center"/>
      <protection hidden="1"/>
    </xf>
    <xf numFmtId="0" fontId="30" fillId="0" borderId="0" xfId="0" applyFont="1" applyBorder="1" applyAlignment="1" applyProtection="1">
      <alignment vertical="center"/>
      <protection hidden="1"/>
    </xf>
    <xf numFmtId="0" fontId="33" fillId="0" borderId="15" xfId="0" applyFont="1" applyBorder="1" applyAlignment="1" applyProtection="1">
      <alignment horizontal="center" vertical="center"/>
      <protection hidden="1"/>
    </xf>
    <xf numFmtId="0" fontId="33" fillId="0" borderId="16" xfId="0" applyFont="1" applyBorder="1" applyAlignment="1" applyProtection="1">
      <alignment horizontal="left" vertical="center"/>
      <protection hidden="1"/>
    </xf>
    <xf numFmtId="0" fontId="33" fillId="0" borderId="0" xfId="0" applyFont="1" applyBorder="1" applyAlignment="1" applyProtection="1">
      <alignment horizontal="center" vertical="center"/>
      <protection hidden="1"/>
    </xf>
    <xf numFmtId="0" fontId="33" fillId="0" borderId="16" xfId="0" applyFont="1" applyBorder="1" applyAlignment="1" applyProtection="1">
      <alignment horizontal="center" vertical="center"/>
      <protection hidden="1"/>
    </xf>
    <xf numFmtId="0" fontId="33" fillId="0" borderId="15" xfId="0" applyFont="1" applyFill="1" applyBorder="1" applyAlignment="1" applyProtection="1">
      <alignment horizontal="center" vertical="center"/>
      <protection hidden="1"/>
    </xf>
    <xf numFmtId="0" fontId="33" fillId="0" borderId="16" xfId="0" applyFont="1" applyFill="1" applyBorder="1" applyAlignment="1" applyProtection="1">
      <alignment horizontal="left" vertical="center"/>
      <protection hidden="1"/>
    </xf>
    <xf numFmtId="0" fontId="33" fillId="0" borderId="16" xfId="0" applyFont="1" applyFill="1" applyBorder="1" applyAlignment="1" applyProtection="1">
      <alignment horizontal="center" vertical="center"/>
      <protection hidden="1"/>
    </xf>
    <xf numFmtId="0" fontId="13" fillId="0" borderId="17" xfId="0" applyFont="1" applyFill="1" applyBorder="1" applyAlignment="1" applyProtection="1">
      <alignment horizontal="center" vertical="center"/>
      <protection hidden="1"/>
    </xf>
    <xf numFmtId="0" fontId="0" fillId="17" borderId="14" xfId="0" applyNumberFormat="1" applyFill="1" applyBorder="1" applyAlignment="1" applyProtection="1">
      <alignment horizontal="center" vertical="center"/>
      <protection hidden="1"/>
    </xf>
    <xf numFmtId="0" fontId="0" fillId="17" borderId="13" xfId="0" applyNumberFormat="1" applyFill="1" applyBorder="1" applyAlignment="1" applyProtection="1">
      <alignment horizontal="left" vertical="center"/>
      <protection hidden="1"/>
    </xf>
    <xf numFmtId="0" fontId="19" fillId="0" borderId="0" xfId="0" applyFont="1" applyProtection="1">
      <protection hidden="1"/>
    </xf>
    <xf numFmtId="0" fontId="0" fillId="0" borderId="16" xfId="0" applyBorder="1" applyProtection="1">
      <protection hidden="1"/>
    </xf>
    <xf numFmtId="0" fontId="0" fillId="0" borderId="26" xfId="0" applyBorder="1" applyProtection="1">
      <protection hidden="1"/>
    </xf>
    <xf numFmtId="0" fontId="0" fillId="0" borderId="3" xfId="0" applyBorder="1" applyProtection="1">
      <protection hidden="1"/>
    </xf>
    <xf numFmtId="0" fontId="0" fillId="12" borderId="0" xfId="0" applyFill="1" applyAlignment="1" applyProtection="1">
      <alignment horizontal="center" vertical="center"/>
      <protection hidden="1"/>
    </xf>
    <xf numFmtId="0" fontId="0" fillId="15" borderId="0" xfId="0" applyFill="1" applyAlignment="1" applyProtection="1">
      <alignment horizontal="center"/>
      <protection hidden="1"/>
    </xf>
    <xf numFmtId="0" fontId="0" fillId="15" borderId="0" xfId="0" applyFill="1" applyProtection="1">
      <protection hidden="1"/>
    </xf>
    <xf numFmtId="0" fontId="0" fillId="0" borderId="0" xfId="0" applyFill="1" applyAlignment="1" applyProtection="1">
      <alignment horizontal="left"/>
      <protection hidden="1"/>
    </xf>
    <xf numFmtId="0" fontId="0" fillId="37" borderId="0" xfId="0" applyFill="1" applyAlignment="1" applyProtection="1">
      <alignment horizontal="left"/>
      <protection hidden="1"/>
    </xf>
    <xf numFmtId="0" fontId="0" fillId="21" borderId="0" xfId="0" applyFill="1" applyAlignment="1" applyProtection="1">
      <alignment horizontal="center" vertical="center"/>
      <protection hidden="1"/>
    </xf>
    <xf numFmtId="0" fontId="34" fillId="0" borderId="16" xfId="0" applyFont="1" applyBorder="1" applyAlignment="1" applyProtection="1">
      <alignment horizontal="left"/>
      <protection hidden="1"/>
    </xf>
    <xf numFmtId="0" fontId="34" fillId="0" borderId="16" xfId="0" applyFont="1" applyBorder="1" applyAlignment="1" applyProtection="1">
      <alignment horizontal="center"/>
      <protection hidden="1"/>
    </xf>
    <xf numFmtId="0" fontId="26" fillId="0" borderId="16" xfId="3" applyBorder="1" applyAlignment="1" applyProtection="1">
      <alignment horizontal="left"/>
      <protection hidden="1"/>
    </xf>
    <xf numFmtId="0" fontId="27" fillId="0" borderId="17" xfId="0" applyFont="1" applyBorder="1" applyAlignment="1" applyProtection="1">
      <alignment horizontal="center"/>
      <protection hidden="1"/>
    </xf>
    <xf numFmtId="0" fontId="7" fillId="0" borderId="17" xfId="0" applyFont="1" applyBorder="1" applyAlignment="1" applyProtection="1">
      <alignment horizontal="center"/>
      <protection hidden="1"/>
    </xf>
    <xf numFmtId="0" fontId="0" fillId="7" borderId="7" xfId="0" applyFill="1" applyBorder="1" applyProtection="1">
      <protection hidden="1"/>
    </xf>
    <xf numFmtId="0" fontId="26" fillId="0" borderId="16" xfId="3" applyBorder="1" applyAlignment="1" applyProtection="1">
      <protection hidden="1"/>
    </xf>
    <xf numFmtId="0" fontId="0" fillId="8" borderId="7" xfId="0" applyFill="1" applyBorder="1" applyProtection="1">
      <protection hidden="1"/>
    </xf>
    <xf numFmtId="0" fontId="33" fillId="0" borderId="15" xfId="0" applyFont="1" applyBorder="1" applyAlignment="1" applyProtection="1">
      <alignment horizontal="center"/>
      <protection hidden="1"/>
    </xf>
    <xf numFmtId="0" fontId="33" fillId="0" borderId="16" xfId="0" applyFont="1" applyBorder="1" applyAlignment="1" applyProtection="1">
      <alignment horizontal="left"/>
      <protection hidden="1"/>
    </xf>
    <xf numFmtId="0" fontId="33" fillId="0" borderId="16" xfId="0" applyFont="1" applyBorder="1" applyAlignment="1" applyProtection="1">
      <alignment horizontal="center"/>
      <protection hidden="1"/>
    </xf>
    <xf numFmtId="0" fontId="0" fillId="8" borderId="7" xfId="0" applyFill="1" applyBorder="1" applyAlignment="1" applyProtection="1">
      <alignment horizontal="left"/>
      <protection hidden="1"/>
    </xf>
    <xf numFmtId="0" fontId="0" fillId="0" borderId="17" xfId="0" applyBorder="1" applyAlignment="1" applyProtection="1">
      <alignment horizontal="center"/>
      <protection hidden="1"/>
    </xf>
    <xf numFmtId="0" fontId="0" fillId="0" borderId="17" xfId="0" applyBorder="1" applyProtection="1">
      <protection hidden="1"/>
    </xf>
    <xf numFmtId="0" fontId="35" fillId="0" borderId="16" xfId="3" applyFont="1" applyBorder="1" applyAlignment="1" applyProtection="1">
      <alignment horizontal="left"/>
      <protection hidden="1"/>
    </xf>
    <xf numFmtId="0" fontId="33" fillId="0" borderId="18" xfId="0" applyFont="1" applyBorder="1" applyAlignment="1" applyProtection="1">
      <alignment horizontal="center"/>
      <protection hidden="1"/>
    </xf>
    <xf numFmtId="0" fontId="35" fillId="0" borderId="105" xfId="3" applyFont="1" applyBorder="1" applyAlignment="1" applyProtection="1">
      <alignment horizontal="left"/>
      <protection hidden="1"/>
    </xf>
    <xf numFmtId="0" fontId="33" fillId="0" borderId="105" xfId="0" applyFont="1" applyBorder="1" applyAlignment="1" applyProtection="1">
      <alignment horizontal="center"/>
      <protection hidden="1"/>
    </xf>
    <xf numFmtId="0" fontId="0" fillId="0" borderId="105" xfId="0" applyBorder="1" applyProtection="1">
      <protection hidden="1"/>
    </xf>
    <xf numFmtId="0" fontId="0" fillId="0" borderId="19" xfId="0" applyBorder="1" applyProtection="1">
      <protection hidden="1"/>
    </xf>
    <xf numFmtId="0" fontId="33" fillId="0" borderId="0" xfId="0" applyFont="1" applyAlignment="1" applyProtection="1">
      <alignment horizontal="center"/>
      <protection hidden="1"/>
    </xf>
    <xf numFmtId="0" fontId="33" fillId="0" borderId="0" xfId="0" applyFont="1" applyAlignment="1" applyProtection="1">
      <alignment horizontal="left"/>
      <protection hidden="1"/>
    </xf>
    <xf numFmtId="0" fontId="35" fillId="0" borderId="0" xfId="3" applyFont="1" applyAlignment="1" applyProtection="1">
      <alignment horizontal="center"/>
      <protection hidden="1"/>
    </xf>
    <xf numFmtId="0" fontId="8" fillId="0" borderId="0" xfId="0" applyFont="1" applyFill="1" applyBorder="1" applyAlignment="1" applyProtection="1">
      <protection hidden="1"/>
    </xf>
    <xf numFmtId="0" fontId="33" fillId="0" borderId="0" xfId="0" applyFont="1" applyBorder="1" applyAlignment="1" applyProtection="1">
      <alignment horizontal="center"/>
      <protection hidden="1"/>
    </xf>
    <xf numFmtId="0" fontId="10" fillId="2" borderId="98" xfId="0" applyFont="1" applyFill="1" applyBorder="1" applyAlignment="1" applyProtection="1">
      <alignment horizontal="center"/>
      <protection hidden="1"/>
    </xf>
    <xf numFmtId="0" fontId="34" fillId="0" borderId="0" xfId="0" applyFont="1" applyBorder="1" applyAlignment="1" applyProtection="1">
      <alignment horizontal="center"/>
      <protection hidden="1"/>
    </xf>
    <xf numFmtId="0" fontId="27" fillId="0" borderId="0" xfId="0" applyFont="1" applyBorder="1" applyAlignment="1" applyProtection="1">
      <alignment horizontal="left"/>
      <protection hidden="1"/>
    </xf>
    <xf numFmtId="0" fontId="26" fillId="0" borderId="0" xfId="3" applyBorder="1" applyAlignment="1" applyProtection="1">
      <alignment horizontal="left"/>
      <protection hidden="1"/>
    </xf>
    <xf numFmtId="0" fontId="27" fillId="0" borderId="0" xfId="0" applyFont="1" applyBorder="1" applyAlignment="1" applyProtection="1">
      <alignment horizontal="center"/>
      <protection hidden="1"/>
    </xf>
    <xf numFmtId="0" fontId="0" fillId="5" borderId="100" xfId="0" applyFill="1" applyBorder="1" applyProtection="1">
      <protection hidden="1"/>
    </xf>
    <xf numFmtId="0" fontId="0" fillId="39" borderId="106" xfId="0" applyFill="1" applyBorder="1" applyAlignment="1" applyProtection="1">
      <alignment horizontal="left"/>
      <protection hidden="1"/>
    </xf>
    <xf numFmtId="0" fontId="0" fillId="5" borderId="16" xfId="0" applyFill="1" applyBorder="1" applyProtection="1">
      <protection hidden="1"/>
    </xf>
    <xf numFmtId="0" fontId="0" fillId="39" borderId="107" xfId="0" applyFill="1" applyBorder="1" applyAlignment="1" applyProtection="1">
      <alignment horizontal="left"/>
      <protection hidden="1"/>
    </xf>
    <xf numFmtId="0" fontId="27" fillId="0" borderId="0" xfId="0" applyFont="1" applyBorder="1" applyProtection="1">
      <protection hidden="1"/>
    </xf>
    <xf numFmtId="0" fontId="0" fillId="0" borderId="44" xfId="0" applyBorder="1" applyProtection="1">
      <protection hidden="1"/>
    </xf>
    <xf numFmtId="0" fontId="0" fillId="0" borderId="42" xfId="0" applyBorder="1" applyProtection="1">
      <protection hidden="1"/>
    </xf>
    <xf numFmtId="0" fontId="0" fillId="0" borderId="97" xfId="0" applyBorder="1" applyProtection="1">
      <protection hidden="1"/>
    </xf>
    <xf numFmtId="0" fontId="0" fillId="0" borderId="102" xfId="0" applyFill="1" applyBorder="1" applyProtection="1">
      <protection hidden="1"/>
    </xf>
    <xf numFmtId="0" fontId="23" fillId="27" borderId="0" xfId="0" applyFont="1" applyFill="1" applyProtection="1">
      <protection hidden="1"/>
    </xf>
    <xf numFmtId="0" fontId="0" fillId="21" borderId="0" xfId="0" applyFill="1" applyProtection="1">
      <protection hidden="1"/>
    </xf>
    <xf numFmtId="0" fontId="19" fillId="0" borderId="17" xfId="0" applyFont="1" applyBorder="1" applyAlignment="1" applyProtection="1">
      <alignment horizontal="center"/>
      <protection hidden="1"/>
    </xf>
    <xf numFmtId="49" fontId="4" fillId="0" borderId="0" xfId="0" applyNumberFormat="1" applyFont="1" applyFill="1" applyBorder="1" applyAlignment="1" applyProtection="1">
      <alignment horizontal="center" vertical="center"/>
      <protection hidden="1"/>
    </xf>
    <xf numFmtId="0" fontId="9" fillId="0" borderId="3" xfId="0" applyFont="1" applyFill="1" applyBorder="1" applyAlignment="1" applyProtection="1">
      <protection hidden="1"/>
    </xf>
    <xf numFmtId="0" fontId="0" fillId="17" borderId="26" xfId="0" applyFill="1" applyBorder="1" applyAlignment="1" applyProtection="1">
      <alignment horizontal="center" vertical="center"/>
      <protection hidden="1"/>
    </xf>
    <xf numFmtId="0" fontId="0" fillId="17" borderId="27" xfId="0" applyFill="1" applyBorder="1" applyAlignment="1" applyProtection="1">
      <alignment horizontal="center" vertical="center"/>
      <protection hidden="1"/>
    </xf>
    <xf numFmtId="0" fontId="0" fillId="17" borderId="95" xfId="0" applyFill="1" applyBorder="1" applyAlignment="1" applyProtection="1">
      <alignment horizontal="center" vertical="center"/>
      <protection hidden="1"/>
    </xf>
    <xf numFmtId="0" fontId="0" fillId="17" borderId="96" xfId="0" applyFill="1" applyBorder="1" applyAlignment="1" applyProtection="1">
      <alignment horizontal="center" vertical="center"/>
      <protection hidden="1"/>
    </xf>
    <xf numFmtId="0" fontId="0" fillId="17" borderId="28" xfId="0" applyFill="1" applyBorder="1" applyAlignment="1" applyProtection="1">
      <alignment horizontal="center" vertical="center"/>
      <protection hidden="1"/>
    </xf>
    <xf numFmtId="0" fontId="0" fillId="17" borderId="29" xfId="0" applyFill="1" applyBorder="1" applyAlignment="1" applyProtection="1">
      <alignment horizontal="center" vertical="center"/>
      <protection hidden="1"/>
    </xf>
    <xf numFmtId="0" fontId="0" fillId="18" borderId="7" xfId="0" applyFill="1" applyBorder="1" applyAlignment="1" applyProtection="1">
      <alignment horizontal="center"/>
      <protection hidden="1"/>
    </xf>
    <xf numFmtId="0" fontId="0" fillId="17" borderId="18" xfId="0" applyFill="1" applyBorder="1" applyProtection="1">
      <protection hidden="1"/>
    </xf>
    <xf numFmtId="0" fontId="0" fillId="18" borderId="0" xfId="0" applyNumberFormat="1" applyFill="1" applyProtection="1">
      <protection locked="0" hidden="1"/>
    </xf>
    <xf numFmtId="0" fontId="0" fillId="39" borderId="0" xfId="0" applyFill="1" applyProtection="1">
      <protection locked="0" hidden="1"/>
    </xf>
    <xf numFmtId="0" fontId="0" fillId="38" borderId="0" xfId="0" applyFill="1" applyProtection="1">
      <protection locked="0" hidden="1"/>
    </xf>
    <xf numFmtId="0" fontId="0" fillId="21" borderId="0" xfId="0" applyFill="1" applyProtection="1">
      <protection locked="0" hidden="1"/>
    </xf>
    <xf numFmtId="0" fontId="26" fillId="0" borderId="0" xfId="3" applyFill="1" applyBorder="1" applyAlignment="1" applyProtection="1">
      <protection locked="0" hidden="1"/>
    </xf>
    <xf numFmtId="0" fontId="26" fillId="0" borderId="0" xfId="3" applyFill="1" applyBorder="1" applyAlignment="1" applyProtection="1">
      <alignment horizontal="left"/>
      <protection locked="0" hidden="1"/>
    </xf>
    <xf numFmtId="0" fontId="5" fillId="0" borderId="0" xfId="0" applyFont="1" applyFill="1" applyBorder="1" applyAlignment="1" applyProtection="1">
      <alignment horizontal="left" vertical="center"/>
      <protection hidden="1"/>
    </xf>
    <xf numFmtId="0" fontId="4" fillId="0" borderId="0" xfId="0" applyFont="1" applyFill="1" applyBorder="1" applyAlignment="1" applyProtection="1">
      <alignment vertical="center"/>
      <protection hidden="1"/>
    </xf>
    <xf numFmtId="0" fontId="36" fillId="0" borderId="0" xfId="0" applyFont="1" applyFill="1" applyBorder="1" applyAlignment="1" applyProtection="1">
      <alignment vertical="center"/>
      <protection hidden="1"/>
    </xf>
    <xf numFmtId="14" fontId="5" fillId="0" borderId="0" xfId="0" applyNumberFormat="1" applyFont="1" applyFill="1" applyBorder="1" applyAlignment="1" applyProtection="1">
      <alignment horizontal="left" vertical="center"/>
      <protection hidden="1"/>
    </xf>
    <xf numFmtId="0" fontId="17" fillId="0" borderId="0" xfId="0" applyFont="1" applyFill="1" applyBorder="1" applyProtection="1">
      <protection hidden="1"/>
    </xf>
    <xf numFmtId="0" fontId="5" fillId="0" borderId="0" xfId="0" applyFont="1" applyFill="1" applyBorder="1" applyAlignment="1" applyProtection="1">
      <alignment horizontal="left" vertical="center" wrapText="1"/>
      <protection hidden="1"/>
    </xf>
    <xf numFmtId="49" fontId="5" fillId="0" borderId="0" xfId="0" applyNumberFormat="1" applyFont="1" applyFill="1" applyBorder="1" applyAlignment="1" applyProtection="1">
      <alignment horizontal="left" vertical="center"/>
      <protection hidden="1"/>
    </xf>
    <xf numFmtId="49" fontId="31" fillId="0" borderId="0" xfId="3" applyNumberFormat="1" applyFont="1" applyFill="1" applyBorder="1" applyAlignment="1" applyProtection="1">
      <alignment horizontal="left" vertical="center"/>
      <protection hidden="1"/>
    </xf>
    <xf numFmtId="49" fontId="26" fillId="0" borderId="0" xfId="3" applyNumberFormat="1" applyFill="1" applyBorder="1" applyAlignment="1" applyProtection="1">
      <alignment horizontal="left" vertical="center"/>
      <protection hidden="1"/>
    </xf>
    <xf numFmtId="0" fontId="5" fillId="0" borderId="0" xfId="1" applyNumberFormat="1" applyFont="1" applyFill="1" applyBorder="1" applyAlignment="1" applyProtection="1">
      <alignment horizontal="left" vertical="center"/>
      <protection hidden="1"/>
    </xf>
    <xf numFmtId="0" fontId="5" fillId="0" borderId="0" xfId="0" applyNumberFormat="1" applyFont="1" applyFill="1" applyBorder="1" applyAlignment="1" applyProtection="1">
      <alignment horizontal="left" vertical="center"/>
      <protection hidden="1"/>
    </xf>
    <xf numFmtId="49" fontId="18" fillId="0" borderId="0" xfId="0" applyNumberFormat="1" applyFont="1" applyFill="1" applyBorder="1" applyAlignment="1" applyProtection="1">
      <alignment horizontal="left" vertical="center"/>
      <protection hidden="1"/>
    </xf>
    <xf numFmtId="0" fontId="5" fillId="0" borderId="0" xfId="0" applyFont="1" applyFill="1" applyBorder="1" applyAlignment="1" applyProtection="1">
      <alignment horizontal="left"/>
      <protection hidden="1"/>
    </xf>
    <xf numFmtId="0" fontId="12" fillId="0" borderId="0" xfId="0" applyFont="1" applyFill="1" applyBorder="1" applyAlignment="1" applyProtection="1">
      <alignment vertical="center"/>
      <protection hidden="1"/>
    </xf>
    <xf numFmtId="49" fontId="5" fillId="0" borderId="0" xfId="0" applyNumberFormat="1" applyFont="1" applyFill="1" applyBorder="1" applyAlignment="1" applyProtection="1">
      <alignment horizontal="left"/>
      <protection hidden="1"/>
    </xf>
    <xf numFmtId="0" fontId="5" fillId="0" borderId="0" xfId="0" applyNumberFormat="1" applyFont="1" applyFill="1" applyBorder="1" applyAlignment="1" applyProtection="1">
      <alignment horizontal="left"/>
      <protection hidden="1"/>
    </xf>
    <xf numFmtId="0" fontId="29" fillId="0" borderId="0" xfId="0" applyFont="1" applyFill="1" applyBorder="1" applyAlignment="1" applyProtection="1">
      <protection hidden="1"/>
    </xf>
    <xf numFmtId="0" fontId="3" fillId="0" borderId="31" xfId="0" applyFont="1" applyFill="1" applyBorder="1" applyAlignment="1" applyProtection="1">
      <alignment horizontal="left" vertical="center"/>
      <protection hidden="1"/>
    </xf>
    <xf numFmtId="0" fontId="16" fillId="0" borderId="27" xfId="0" applyFont="1" applyFill="1" applyBorder="1" applyAlignment="1" applyProtection="1">
      <alignment horizontal="left" vertical="center"/>
      <protection hidden="1"/>
    </xf>
    <xf numFmtId="0" fontId="5" fillId="0" borderId="27" xfId="0" applyFont="1" applyFill="1" applyBorder="1" applyAlignment="1" applyProtection="1">
      <alignment horizontal="left" vertical="center"/>
      <protection hidden="1"/>
    </xf>
    <xf numFmtId="0" fontId="5" fillId="0" borderId="29" xfId="0" applyFont="1" applyFill="1" applyBorder="1" applyAlignment="1" applyProtection="1">
      <alignment horizontal="left" vertical="center"/>
      <protection hidden="1"/>
    </xf>
    <xf numFmtId="0" fontId="2" fillId="29" borderId="26" xfId="0" applyFont="1" applyFill="1" applyBorder="1" applyAlignment="1" applyProtection="1">
      <alignment vertical="center"/>
      <protection hidden="1"/>
    </xf>
    <xf numFmtId="0" fontId="4" fillId="29" borderId="28" xfId="0" applyFont="1" applyFill="1" applyBorder="1" applyAlignment="1" applyProtection="1">
      <alignment vertical="center"/>
      <protection hidden="1"/>
    </xf>
    <xf numFmtId="0" fontId="0" fillId="39" borderId="108" xfId="0" applyFill="1" applyBorder="1" applyAlignment="1" applyProtection="1">
      <alignment horizontal="left"/>
      <protection hidden="1"/>
    </xf>
    <xf numFmtId="0" fontId="12" fillId="12" borderId="10" xfId="0" applyNumberFormat="1" applyFont="1" applyFill="1" applyBorder="1" applyAlignment="1" applyProtection="1">
      <alignment horizontal="left" vertical="center"/>
      <protection hidden="1"/>
    </xf>
    <xf numFmtId="0" fontId="12" fillId="12" borderId="38" xfId="0" applyNumberFormat="1" applyFont="1" applyFill="1" applyBorder="1" applyAlignment="1" applyProtection="1">
      <alignment horizontal="left" vertical="center"/>
      <protection hidden="1"/>
    </xf>
    <xf numFmtId="0" fontId="0" fillId="0" borderId="0" xfId="0" applyFill="1" applyAlignment="1" applyProtection="1">
      <alignment horizontal="center"/>
      <protection hidden="1"/>
    </xf>
    <xf numFmtId="0" fontId="20" fillId="29" borderId="109" xfId="0" applyFont="1" applyFill="1" applyBorder="1" applyAlignment="1" applyProtection="1">
      <alignment horizontal="center" vertical="center"/>
      <protection hidden="1"/>
    </xf>
    <xf numFmtId="0" fontId="20" fillId="30" borderId="31" xfId="0" applyFont="1" applyFill="1" applyBorder="1" applyAlignment="1" applyProtection="1">
      <alignment horizontal="center" vertical="center"/>
      <protection hidden="1"/>
    </xf>
    <xf numFmtId="0" fontId="20" fillId="29" borderId="110" xfId="0" applyFont="1" applyFill="1" applyBorder="1" applyAlignment="1" applyProtection="1">
      <alignment horizontal="center" vertical="center"/>
      <protection hidden="1"/>
    </xf>
    <xf numFmtId="0" fontId="20" fillId="30" borderId="29" xfId="0" applyFont="1" applyFill="1" applyBorder="1" applyAlignment="1" applyProtection="1">
      <alignment horizontal="center" vertical="center"/>
      <protection hidden="1"/>
    </xf>
    <xf numFmtId="0" fontId="20" fillId="0" borderId="50" xfId="0" applyFont="1" applyFill="1" applyBorder="1" applyAlignment="1" applyProtection="1">
      <alignment horizontal="center" vertical="center"/>
      <protection hidden="1"/>
    </xf>
    <xf numFmtId="0" fontId="20" fillId="29" borderId="30" xfId="0" applyFont="1" applyFill="1" applyBorder="1" applyAlignment="1" applyProtection="1">
      <alignment horizontal="center" vertical="center"/>
      <protection hidden="1"/>
    </xf>
    <xf numFmtId="0" fontId="20" fillId="29" borderId="26" xfId="0" applyFont="1" applyFill="1" applyBorder="1" applyAlignment="1" applyProtection="1">
      <alignment horizontal="center" vertical="center"/>
      <protection hidden="1"/>
    </xf>
    <xf numFmtId="0" fontId="20" fillId="30" borderId="27" xfId="0" applyFont="1" applyFill="1" applyBorder="1" applyAlignment="1" applyProtection="1">
      <alignment horizontal="center" vertical="center"/>
      <protection hidden="1"/>
    </xf>
    <xf numFmtId="0" fontId="20" fillId="29" borderId="28" xfId="0" applyFont="1" applyFill="1" applyBorder="1" applyAlignment="1" applyProtection="1">
      <alignment horizontal="center" vertical="center"/>
      <protection hidden="1"/>
    </xf>
    <xf numFmtId="0" fontId="20" fillId="0" borderId="49" xfId="0" applyFont="1" applyFill="1" applyBorder="1" applyAlignment="1" applyProtection="1">
      <alignment horizontal="center" vertical="center"/>
      <protection hidden="1"/>
    </xf>
    <xf numFmtId="0" fontId="20" fillId="0" borderId="62" xfId="0" applyFont="1" applyFill="1" applyBorder="1" applyAlignment="1" applyProtection="1">
      <alignment horizontal="center" vertical="center"/>
      <protection hidden="1"/>
    </xf>
    <xf numFmtId="0" fontId="20" fillId="29" borderId="111" xfId="0" applyFont="1" applyFill="1" applyBorder="1" applyAlignment="1" applyProtection="1">
      <alignment horizontal="center" vertical="center"/>
      <protection hidden="1"/>
    </xf>
    <xf numFmtId="0" fontId="20" fillId="30" borderId="112" xfId="0" applyFont="1" applyFill="1" applyBorder="1" applyAlignment="1" applyProtection="1">
      <alignment horizontal="center" vertical="center"/>
      <protection hidden="1"/>
    </xf>
    <xf numFmtId="0" fontId="0" fillId="8" borderId="26" xfId="0" applyFill="1" applyBorder="1" applyAlignment="1" applyProtection="1">
      <alignment horizontal="left"/>
      <protection hidden="1"/>
    </xf>
    <xf numFmtId="0" fontId="0" fillId="8" borderId="26" xfId="0" applyFill="1" applyBorder="1" applyAlignment="1" applyProtection="1">
      <protection hidden="1"/>
    </xf>
    <xf numFmtId="0" fontId="9" fillId="2" borderId="8" xfId="0" applyFont="1" applyFill="1" applyBorder="1" applyAlignment="1" applyProtection="1">
      <protection hidden="1"/>
    </xf>
    <xf numFmtId="0" fontId="9" fillId="2" borderId="7" xfId="0" applyFont="1" applyFill="1" applyBorder="1" applyAlignment="1" applyProtection="1">
      <protection hidden="1"/>
    </xf>
    <xf numFmtId="0" fontId="0" fillId="8" borderId="30" xfId="0" applyFill="1" applyBorder="1" applyAlignment="1" applyProtection="1">
      <alignment horizontal="left"/>
      <protection hidden="1"/>
    </xf>
    <xf numFmtId="0" fontId="0" fillId="8" borderId="28" xfId="0" applyFill="1" applyBorder="1" applyAlignment="1" applyProtection="1">
      <alignment horizontal="left"/>
      <protection hidden="1"/>
    </xf>
    <xf numFmtId="0" fontId="0" fillId="8" borderId="26" xfId="0" applyFont="1" applyFill="1" applyBorder="1" applyAlignment="1" applyProtection="1">
      <alignment horizontal="left"/>
      <protection hidden="1"/>
    </xf>
    <xf numFmtId="0" fontId="0" fillId="8" borderId="95" xfId="0" applyFill="1" applyBorder="1" applyAlignment="1" applyProtection="1">
      <alignment horizontal="left"/>
      <protection hidden="1"/>
    </xf>
    <xf numFmtId="0" fontId="0" fillId="0" borderId="27" xfId="0" applyBorder="1" applyProtection="1">
      <protection hidden="1"/>
    </xf>
    <xf numFmtId="0" fontId="0" fillId="0" borderId="29" xfId="0" applyBorder="1" applyProtection="1">
      <protection hidden="1"/>
    </xf>
    <xf numFmtId="0" fontId="0" fillId="0" borderId="114" xfId="0" applyBorder="1" applyAlignment="1" applyProtection="1">
      <alignment horizontal="center"/>
      <protection hidden="1"/>
    </xf>
    <xf numFmtId="0" fontId="0" fillId="0" borderId="31" xfId="0" applyBorder="1" applyProtection="1">
      <protection hidden="1"/>
    </xf>
    <xf numFmtId="0" fontId="0" fillId="0" borderId="16" xfId="0" applyBorder="1" applyAlignment="1" applyProtection="1">
      <alignment horizontal="center"/>
      <protection hidden="1"/>
    </xf>
    <xf numFmtId="49" fontId="0" fillId="0" borderId="16" xfId="0" applyNumberFormat="1" applyBorder="1" applyAlignment="1" applyProtection="1">
      <alignment horizontal="center"/>
      <protection hidden="1"/>
    </xf>
    <xf numFmtId="0" fontId="0" fillId="0" borderId="115" xfId="0" applyBorder="1" applyProtection="1">
      <protection hidden="1"/>
    </xf>
    <xf numFmtId="0" fontId="8" fillId="5" borderId="7" xfId="0" applyFont="1" applyFill="1" applyBorder="1" applyAlignment="1" applyProtection="1">
      <alignment horizontal="left"/>
      <protection hidden="1"/>
    </xf>
    <xf numFmtId="0" fontId="8" fillId="32" borderId="116" xfId="0" applyFont="1" applyFill="1" applyBorder="1" applyAlignment="1" applyProtection="1">
      <alignment vertical="center"/>
      <protection hidden="1"/>
    </xf>
    <xf numFmtId="0" fontId="0" fillId="32" borderId="113" xfId="0" applyFill="1" applyBorder="1" applyProtection="1">
      <protection hidden="1"/>
    </xf>
    <xf numFmtId="0" fontId="8" fillId="32" borderId="117" xfId="0" applyFont="1" applyFill="1" applyBorder="1" applyAlignment="1" applyProtection="1">
      <alignment vertical="center"/>
      <protection hidden="1"/>
    </xf>
    <xf numFmtId="0" fontId="0" fillId="32" borderId="42" xfId="0" applyFill="1" applyBorder="1" applyProtection="1">
      <protection hidden="1"/>
    </xf>
    <xf numFmtId="0" fontId="8" fillId="32" borderId="117" xfId="0" applyFont="1" applyFill="1" applyBorder="1" applyProtection="1">
      <protection hidden="1"/>
    </xf>
    <xf numFmtId="0" fontId="8" fillId="32" borderId="118" xfId="0" applyFont="1" applyFill="1" applyBorder="1" applyProtection="1">
      <protection hidden="1"/>
    </xf>
    <xf numFmtId="167" fontId="15" fillId="0" borderId="0" xfId="0" applyNumberFormat="1" applyFont="1" applyFill="1" applyBorder="1" applyAlignment="1" applyProtection="1">
      <alignment horizontal="left"/>
      <protection locked="0"/>
    </xf>
    <xf numFmtId="0" fontId="0" fillId="32" borderId="44" xfId="0" applyFill="1" applyBorder="1" applyProtection="1">
      <protection hidden="1"/>
    </xf>
    <xf numFmtId="167" fontId="13" fillId="32" borderId="42" xfId="0" applyNumberFormat="1" applyFont="1" applyFill="1" applyBorder="1" applyAlignment="1" applyProtection="1">
      <alignment horizontal="left"/>
      <protection locked="0"/>
    </xf>
    <xf numFmtId="0" fontId="0" fillId="37" borderId="0" xfId="0" applyFill="1" applyProtection="1">
      <protection hidden="1"/>
    </xf>
    <xf numFmtId="0" fontId="0" fillId="0" borderId="98" xfId="0" applyBorder="1" applyProtection="1">
      <protection hidden="1"/>
    </xf>
    <xf numFmtId="0" fontId="0" fillId="37" borderId="26" xfId="0" applyFill="1" applyBorder="1" applyProtection="1">
      <protection hidden="1"/>
    </xf>
    <xf numFmtId="0" fontId="0" fillId="37" borderId="27" xfId="0" applyFill="1" applyBorder="1" applyProtection="1">
      <protection hidden="1"/>
    </xf>
    <xf numFmtId="0" fontId="0" fillId="37" borderId="28" xfId="0" applyFill="1" applyBorder="1" applyProtection="1">
      <protection hidden="1"/>
    </xf>
    <xf numFmtId="0" fontId="0" fillId="37" borderId="29" xfId="0" applyFill="1" applyBorder="1" applyProtection="1">
      <protection hidden="1"/>
    </xf>
    <xf numFmtId="0" fontId="8" fillId="25" borderId="7" xfId="0" applyFont="1" applyFill="1" applyBorder="1" applyAlignment="1" applyProtection="1">
      <alignment horizontal="center"/>
      <protection hidden="1"/>
    </xf>
    <xf numFmtId="0" fontId="0" fillId="37" borderId="16" xfId="0" applyFill="1" applyBorder="1" applyAlignment="1" applyProtection="1">
      <alignment horizontal="center"/>
      <protection hidden="1"/>
    </xf>
    <xf numFmtId="0" fontId="0" fillId="37" borderId="115" xfId="0" applyFill="1" applyBorder="1" applyAlignment="1" applyProtection="1">
      <alignment horizontal="center"/>
      <protection hidden="1"/>
    </xf>
    <xf numFmtId="0" fontId="10" fillId="26" borderId="24" xfId="0" applyFont="1" applyFill="1" applyBorder="1" applyProtection="1">
      <protection hidden="1"/>
    </xf>
    <xf numFmtId="0" fontId="10" fillId="26" borderId="23" xfId="0" applyFont="1" applyFill="1" applyBorder="1" applyAlignment="1" applyProtection="1">
      <alignment horizontal="center"/>
      <protection hidden="1"/>
    </xf>
    <xf numFmtId="0" fontId="10" fillId="26" borderId="25" xfId="0" applyFont="1" applyFill="1" applyBorder="1" applyProtection="1"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0" fillId="0" borderId="120" xfId="0" applyFill="1" applyBorder="1" applyProtection="1">
      <protection hidden="1"/>
    </xf>
    <xf numFmtId="0" fontId="0" fillId="0" borderId="102" xfId="0" applyBorder="1" applyProtection="1">
      <protection hidden="1"/>
    </xf>
    <xf numFmtId="0" fontId="0" fillId="37" borderId="27" xfId="0" applyFill="1" applyBorder="1" applyAlignment="1" applyProtection="1">
      <alignment horizontal="center"/>
      <protection hidden="1"/>
    </xf>
    <xf numFmtId="0" fontId="0" fillId="0" borderId="28" xfId="0" applyBorder="1" applyProtection="1">
      <protection hidden="1"/>
    </xf>
    <xf numFmtId="0" fontId="0" fillId="0" borderId="0" xfId="0" applyNumberFormat="1" applyFill="1" applyBorder="1" applyAlignment="1" applyProtection="1">
      <alignment horizontal="left" vertical="center"/>
      <protection hidden="1"/>
    </xf>
    <xf numFmtId="0" fontId="37" fillId="0" borderId="0" xfId="0" applyFont="1"/>
    <xf numFmtId="0" fontId="0" fillId="0" borderId="35" xfId="0" applyBorder="1" applyProtection="1">
      <protection hidden="1"/>
    </xf>
    <xf numFmtId="0" fontId="0" fillId="41" borderId="0" xfId="0" applyFill="1" applyProtection="1">
      <protection hidden="1"/>
    </xf>
    <xf numFmtId="0" fontId="0" fillId="16" borderId="0" xfId="0" applyFill="1" applyAlignment="1" applyProtection="1">
      <alignment horizontal="center" vertical="center"/>
      <protection hidden="1"/>
    </xf>
    <xf numFmtId="0" fontId="0" fillId="18" borderId="0" xfId="0" applyFill="1" applyAlignment="1" applyProtection="1">
      <alignment horizontal="center" vertical="center"/>
      <protection hidden="1"/>
    </xf>
    <xf numFmtId="0" fontId="0" fillId="7" borderId="0" xfId="0" applyFill="1" applyAlignment="1" applyProtection="1">
      <alignment horizontal="center" vertical="center"/>
      <protection hidden="1"/>
    </xf>
    <xf numFmtId="0" fontId="0" fillId="32" borderId="0" xfId="0" applyFill="1" applyProtection="1">
      <protection hidden="1"/>
    </xf>
    <xf numFmtId="0" fontId="0" fillId="4" borderId="0" xfId="0" applyFill="1" applyProtection="1">
      <protection hidden="1"/>
    </xf>
    <xf numFmtId="0" fontId="0" fillId="26" borderId="0" xfId="0" applyFill="1" applyProtection="1">
      <protection hidden="1"/>
    </xf>
    <xf numFmtId="0" fontId="29" fillId="26" borderId="124" xfId="0" applyFont="1" applyFill="1" applyBorder="1" applyAlignment="1" applyProtection="1">
      <alignment horizontal="center" vertical="center"/>
      <protection hidden="1"/>
    </xf>
    <xf numFmtId="0" fontId="21" fillId="0" borderId="99" xfId="0" applyFont="1" applyFill="1" applyBorder="1" applyProtection="1">
      <protection hidden="1"/>
    </xf>
    <xf numFmtId="0" fontId="21" fillId="0" borderId="100" xfId="0" applyFont="1" applyFill="1" applyBorder="1" applyProtection="1">
      <protection hidden="1"/>
    </xf>
    <xf numFmtId="0" fontId="21" fillId="0" borderId="100" xfId="0" applyFont="1" applyFill="1" applyBorder="1"/>
    <xf numFmtId="49" fontId="21" fillId="0" borderId="100" xfId="0" applyNumberFormat="1" applyFont="1" applyFill="1" applyBorder="1"/>
    <xf numFmtId="0" fontId="21" fillId="0" borderId="101" xfId="0" applyFont="1" applyFill="1" applyBorder="1" applyProtection="1">
      <protection hidden="1"/>
    </xf>
    <xf numFmtId="0" fontId="21" fillId="0" borderId="48" xfId="0" applyFont="1" applyFill="1" applyBorder="1" applyProtection="1">
      <protection hidden="1"/>
    </xf>
    <xf numFmtId="0" fontId="21" fillId="0" borderId="16" xfId="0" applyFont="1" applyFill="1" applyBorder="1" applyProtection="1">
      <protection hidden="1"/>
    </xf>
    <xf numFmtId="0" fontId="21" fillId="0" borderId="16" xfId="0" applyFont="1" applyFill="1" applyBorder="1"/>
    <xf numFmtId="49" fontId="21" fillId="0" borderId="16" xfId="0" applyNumberFormat="1" applyFont="1" applyFill="1" applyBorder="1"/>
    <xf numFmtId="0" fontId="21" fillId="0" borderId="49" xfId="0" applyFont="1" applyFill="1" applyBorder="1" applyProtection="1">
      <protection hidden="1"/>
    </xf>
    <xf numFmtId="0" fontId="21" fillId="0" borderId="48" xfId="0" applyFont="1" applyFill="1" applyBorder="1"/>
    <xf numFmtId="0" fontId="21" fillId="0" borderId="16" xfId="0" applyFont="1" applyFill="1" applyBorder="1" applyAlignment="1">
      <alignment horizontal="left"/>
    </xf>
    <xf numFmtId="0" fontId="21" fillId="0" borderId="63" xfId="0" applyFont="1" applyFill="1" applyBorder="1" applyProtection="1">
      <protection hidden="1"/>
    </xf>
    <xf numFmtId="0" fontId="21" fillId="0" borderId="125" xfId="0" applyFont="1" applyFill="1" applyBorder="1" applyProtection="1">
      <protection hidden="1"/>
    </xf>
    <xf numFmtId="0" fontId="21" fillId="0" borderId="125" xfId="0" applyFont="1" applyFill="1" applyBorder="1"/>
    <xf numFmtId="49" fontId="21" fillId="0" borderId="125" xfId="0" applyNumberFormat="1" applyFont="1" applyFill="1" applyBorder="1"/>
    <xf numFmtId="0" fontId="21" fillId="0" borderId="64" xfId="0" applyFont="1" applyFill="1" applyBorder="1" applyProtection="1">
      <protection hidden="1"/>
    </xf>
    <xf numFmtId="0" fontId="38" fillId="19" borderId="0" xfId="0" applyFont="1" applyFill="1" applyAlignment="1" applyProtection="1">
      <alignment horizontal="center"/>
      <protection hidden="1"/>
    </xf>
    <xf numFmtId="0" fontId="39" fillId="14" borderId="0" xfId="0" applyFont="1" applyFill="1" applyAlignment="1" applyProtection="1">
      <alignment horizontal="center"/>
      <protection hidden="1"/>
    </xf>
    <xf numFmtId="0" fontId="21" fillId="5" borderId="48" xfId="0" applyFont="1" applyFill="1" applyBorder="1" applyProtection="1">
      <protection hidden="1"/>
    </xf>
    <xf numFmtId="0" fontId="21" fillId="5" borderId="16" xfId="0" applyFont="1" applyFill="1" applyBorder="1" applyProtection="1">
      <protection hidden="1"/>
    </xf>
    <xf numFmtId="0" fontId="21" fillId="5" borderId="16" xfId="0" applyFont="1" applyFill="1" applyBorder="1"/>
    <xf numFmtId="49" fontId="21" fillId="5" borderId="16" xfId="0" applyNumberFormat="1" applyFont="1" applyFill="1" applyBorder="1"/>
    <xf numFmtId="0" fontId="21" fillId="5" borderId="49" xfId="0" applyFont="1" applyFill="1" applyBorder="1" applyProtection="1">
      <protection hidden="1"/>
    </xf>
    <xf numFmtId="0" fontId="40" fillId="29" borderId="30" xfId="0" applyFont="1" applyFill="1" applyBorder="1" applyAlignment="1" applyProtection="1">
      <alignment vertical="center"/>
      <protection hidden="1"/>
    </xf>
    <xf numFmtId="0" fontId="40" fillId="29" borderId="26" xfId="0" applyFont="1" applyFill="1" applyBorder="1" applyAlignment="1" applyProtection="1">
      <alignment horizontal="left" vertical="center"/>
      <protection hidden="1"/>
    </xf>
    <xf numFmtId="0" fontId="41" fillId="42" borderId="127" xfId="0" applyFont="1" applyFill="1" applyBorder="1" applyAlignment="1">
      <alignment horizontal="center" vertical="center"/>
    </xf>
    <xf numFmtId="0" fontId="41" fillId="42" borderId="126" xfId="0" applyFont="1" applyFill="1" applyBorder="1" applyAlignment="1">
      <alignment horizontal="center" vertical="center"/>
    </xf>
    <xf numFmtId="0" fontId="0" fillId="0" borderId="99" xfId="0" applyBorder="1"/>
    <xf numFmtId="0" fontId="0" fillId="0" borderId="100" xfId="0" applyBorder="1" applyProtection="1">
      <protection hidden="1"/>
    </xf>
    <xf numFmtId="0" fontId="0" fillId="0" borderId="48" xfId="0" applyBorder="1"/>
    <xf numFmtId="0" fontId="7" fillId="0" borderId="101" xfId="0" applyFont="1" applyBorder="1" applyAlignment="1" applyProtection="1">
      <alignment horizontal="center"/>
      <protection hidden="1"/>
    </xf>
    <xf numFmtId="0" fontId="7" fillId="0" borderId="49" xfId="0" applyFont="1" applyBorder="1" applyAlignment="1" applyProtection="1">
      <alignment horizontal="center"/>
      <protection hidden="1"/>
    </xf>
    <xf numFmtId="0" fontId="41" fillId="0" borderId="0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left" vertical="center"/>
    </xf>
    <xf numFmtId="0" fontId="9" fillId="18" borderId="27" xfId="0" applyFont="1" applyFill="1" applyBorder="1" applyAlignment="1" applyProtection="1">
      <alignment horizontal="center"/>
      <protection hidden="1"/>
    </xf>
    <xf numFmtId="0" fontId="11" fillId="15" borderId="26" xfId="0" applyFont="1" applyFill="1" applyBorder="1" applyProtection="1">
      <protection hidden="1"/>
    </xf>
    <xf numFmtId="0" fontId="9" fillId="15" borderId="27" xfId="0" applyFont="1" applyFill="1" applyBorder="1" applyAlignment="1" applyProtection="1">
      <alignment horizontal="center"/>
      <protection hidden="1"/>
    </xf>
    <xf numFmtId="0" fontId="11" fillId="35" borderId="26" xfId="0" applyFont="1" applyFill="1" applyBorder="1" applyProtection="1">
      <protection hidden="1"/>
    </xf>
    <xf numFmtId="0" fontId="9" fillId="35" borderId="27" xfId="0" applyFont="1" applyFill="1" applyBorder="1" applyProtection="1">
      <protection hidden="1"/>
    </xf>
    <xf numFmtId="0" fontId="11" fillId="33" borderId="30" xfId="0" applyFont="1" applyFill="1" applyBorder="1" applyProtection="1">
      <protection hidden="1"/>
    </xf>
    <xf numFmtId="0" fontId="9" fillId="33" borderId="31" xfId="0" applyFont="1" applyFill="1" applyBorder="1" applyAlignment="1" applyProtection="1">
      <alignment horizontal="center"/>
      <protection hidden="1"/>
    </xf>
    <xf numFmtId="0" fontId="11" fillId="33" borderId="26" xfId="0" applyFont="1" applyFill="1" applyBorder="1" applyProtection="1">
      <protection hidden="1"/>
    </xf>
    <xf numFmtId="0" fontId="9" fillId="33" borderId="27" xfId="0" applyFont="1" applyFill="1" applyBorder="1" applyAlignment="1" applyProtection="1">
      <alignment horizontal="center"/>
      <protection hidden="1"/>
    </xf>
    <xf numFmtId="0" fontId="4" fillId="18" borderId="26" xfId="0" applyNumberFormat="1" applyFont="1" applyFill="1" applyBorder="1" applyAlignment="1" applyProtection="1">
      <alignment horizontal="left" vertical="center"/>
      <protection hidden="1"/>
    </xf>
    <xf numFmtId="0" fontId="11" fillId="18" borderId="26" xfId="0" applyFont="1" applyFill="1" applyBorder="1" applyAlignment="1" applyProtection="1">
      <alignment horizontal="left"/>
      <protection hidden="1"/>
    </xf>
    <xf numFmtId="0" fontId="4" fillId="18" borderId="26" xfId="0" applyNumberFormat="1" applyFont="1" applyFill="1" applyBorder="1" applyAlignment="1" applyProtection="1">
      <alignment vertical="center"/>
      <protection hidden="1"/>
    </xf>
    <xf numFmtId="0" fontId="8" fillId="6" borderId="26" xfId="0" applyFont="1" applyFill="1" applyBorder="1" applyProtection="1">
      <protection hidden="1"/>
    </xf>
    <xf numFmtId="0" fontId="8" fillId="6" borderId="27" xfId="0" applyFont="1" applyFill="1" applyBorder="1" applyProtection="1">
      <protection hidden="1"/>
    </xf>
    <xf numFmtId="0" fontId="8" fillId="6" borderId="28" xfId="0" applyFont="1" applyFill="1" applyBorder="1" applyProtection="1">
      <protection hidden="1"/>
    </xf>
    <xf numFmtId="0" fontId="8" fillId="6" borderId="29" xfId="0" applyFont="1" applyFill="1" applyBorder="1" applyProtection="1">
      <protection hidden="1"/>
    </xf>
    <xf numFmtId="0" fontId="0" fillId="6" borderId="122" xfId="0" applyFill="1" applyBorder="1" applyAlignment="1" applyProtection="1">
      <protection hidden="1"/>
    </xf>
    <xf numFmtId="0" fontId="0" fillId="6" borderId="123" xfId="0" applyFill="1" applyBorder="1" applyAlignment="1" applyProtection="1">
      <protection hidden="1"/>
    </xf>
    <xf numFmtId="0" fontId="44" fillId="44" borderId="25" xfId="0" applyFont="1" applyFill="1" applyBorder="1" applyProtection="1">
      <protection hidden="1"/>
    </xf>
    <xf numFmtId="0" fontId="44" fillId="44" borderId="27" xfId="0" applyFont="1" applyFill="1" applyBorder="1" applyProtection="1">
      <protection hidden="1"/>
    </xf>
    <xf numFmtId="0" fontId="43" fillId="43" borderId="24" xfId="0" applyFont="1" applyFill="1" applyBorder="1" applyAlignment="1" applyProtection="1">
      <alignment horizontal="left"/>
      <protection hidden="1"/>
    </xf>
    <xf numFmtId="0" fontId="43" fillId="43" borderId="26" xfId="0" applyFont="1" applyFill="1" applyBorder="1" applyAlignment="1" applyProtection="1">
      <alignment horizontal="left"/>
      <protection hidden="1"/>
    </xf>
    <xf numFmtId="0" fontId="43" fillId="43" borderId="26" xfId="0" applyFont="1" applyFill="1" applyBorder="1" applyProtection="1">
      <protection hidden="1"/>
    </xf>
    <xf numFmtId="49" fontId="0" fillId="0" borderId="0" xfId="0" applyNumberFormat="1" applyProtection="1">
      <protection hidden="1"/>
    </xf>
    <xf numFmtId="0" fontId="0" fillId="0" borderId="15" xfId="0" applyBorder="1"/>
    <xf numFmtId="0" fontId="0" fillId="0" borderId="15" xfId="0" applyBorder="1" applyProtection="1">
      <protection hidden="1"/>
    </xf>
    <xf numFmtId="0" fontId="0" fillId="0" borderId="18" xfId="0" applyBorder="1"/>
    <xf numFmtId="0" fontId="0" fillId="0" borderId="36" xfId="0" applyBorder="1"/>
    <xf numFmtId="0" fontId="21" fillId="0" borderId="49" xfId="0" applyFont="1" applyFill="1" applyBorder="1" applyAlignment="1" applyProtection="1">
      <alignment horizontal="center"/>
      <protection hidden="1"/>
    </xf>
    <xf numFmtId="0" fontId="21" fillId="0" borderId="64" xfId="0" applyFont="1" applyFill="1" applyBorder="1" applyAlignment="1" applyProtection="1">
      <alignment horizontal="center"/>
      <protection hidden="1"/>
    </xf>
    <xf numFmtId="0" fontId="21" fillId="0" borderId="58" xfId="0" applyFont="1" applyFill="1" applyBorder="1" applyAlignment="1" applyProtection="1">
      <alignment horizontal="center"/>
      <protection hidden="1"/>
    </xf>
    <xf numFmtId="0" fontId="0" fillId="0" borderId="128" xfId="0" applyBorder="1"/>
    <xf numFmtId="0" fontId="0" fillId="0" borderId="129" xfId="0" applyBorder="1" applyProtection="1">
      <protection hidden="1"/>
    </xf>
    <xf numFmtId="0" fontId="7" fillId="0" borderId="130" xfId="0" applyFont="1" applyBorder="1" applyAlignment="1" applyProtection="1">
      <alignment horizontal="center"/>
      <protection hidden="1"/>
    </xf>
    <xf numFmtId="0" fontId="0" fillId="5" borderId="0" xfId="0" applyFill="1" applyProtection="1">
      <protection hidden="1"/>
    </xf>
    <xf numFmtId="0" fontId="0" fillId="0" borderId="131" xfId="0" applyBorder="1"/>
    <xf numFmtId="49" fontId="0" fillId="0" borderId="54" xfId="0" applyNumberFormat="1" applyBorder="1"/>
    <xf numFmtId="49" fontId="0" fillId="0" borderId="54" xfId="0" applyNumberFormat="1" applyBorder="1" applyProtection="1">
      <protection hidden="1"/>
    </xf>
    <xf numFmtId="49" fontId="0" fillId="0" borderId="53" xfId="0" applyNumberFormat="1" applyBorder="1"/>
    <xf numFmtId="49" fontId="0" fillId="0" borderId="121" xfId="0" applyNumberFormat="1" applyBorder="1"/>
    <xf numFmtId="49" fontId="0" fillId="0" borderId="121" xfId="0" applyNumberFormat="1" applyBorder="1" applyProtection="1">
      <protection hidden="1"/>
    </xf>
    <xf numFmtId="49" fontId="0" fillId="0" borderId="19" xfId="0" applyNumberFormat="1" applyBorder="1"/>
    <xf numFmtId="0" fontId="0" fillId="0" borderId="42" xfId="0" applyFill="1" applyBorder="1" applyAlignment="1" applyProtection="1">
      <protection hidden="1"/>
    </xf>
    <xf numFmtId="0" fontId="0" fillId="0" borderId="43" xfId="0" applyBorder="1" applyAlignment="1" applyProtection="1">
      <protection hidden="1"/>
    </xf>
    <xf numFmtId="0" fontId="48" fillId="15" borderId="113" xfId="0" applyFont="1" applyFill="1" applyBorder="1" applyAlignment="1" applyProtection="1">
      <alignment horizontal="center"/>
      <protection hidden="1"/>
    </xf>
    <xf numFmtId="0" fontId="0" fillId="0" borderId="7" xfId="0" applyBorder="1" applyProtection="1">
      <protection hidden="1"/>
    </xf>
    <xf numFmtId="0" fontId="10" fillId="35" borderId="7" xfId="0" applyFont="1" applyFill="1" applyBorder="1" applyProtection="1">
      <protection hidden="1"/>
    </xf>
    <xf numFmtId="0" fontId="49" fillId="0" borderId="120" xfId="0" applyFont="1" applyBorder="1" applyProtection="1">
      <protection hidden="1"/>
    </xf>
    <xf numFmtId="0" fontId="10" fillId="35" borderId="0" xfId="0" applyFont="1" applyFill="1" applyProtection="1">
      <protection hidden="1"/>
    </xf>
    <xf numFmtId="0" fontId="50" fillId="0" borderId="102" xfId="0" applyFont="1" applyBorder="1" applyProtection="1">
      <protection hidden="1"/>
    </xf>
    <xf numFmtId="0" fontId="49" fillId="0" borderId="98" xfId="0" applyFont="1" applyBorder="1" applyAlignment="1" applyProtection="1">
      <alignment vertical="center"/>
      <protection hidden="1"/>
    </xf>
    <xf numFmtId="0" fontId="51" fillId="0" borderId="7" xfId="0" applyFont="1" applyBorder="1" applyAlignment="1" applyProtection="1">
      <alignment horizontal="center" vertical="center"/>
      <protection hidden="1"/>
    </xf>
    <xf numFmtId="0" fontId="0" fillId="0" borderId="0" xfId="0" applyFill="1" applyAlignment="1" applyProtection="1">
      <alignment vertical="center"/>
      <protection hidden="1"/>
    </xf>
    <xf numFmtId="0" fontId="49" fillId="0" borderId="0" xfId="0" applyFont="1" applyFill="1" applyBorder="1" applyProtection="1">
      <protection hidden="1"/>
    </xf>
    <xf numFmtId="0" fontId="49" fillId="0" borderId="113" xfId="0" applyFont="1" applyBorder="1" applyAlignment="1" applyProtection="1">
      <alignment vertical="center"/>
      <protection hidden="1"/>
    </xf>
    <xf numFmtId="0" fontId="50" fillId="0" borderId="42" xfId="0" applyFont="1" applyBorder="1" applyProtection="1">
      <protection hidden="1"/>
    </xf>
    <xf numFmtId="0" fontId="49" fillId="0" borderId="43" xfId="0" applyFont="1" applyBorder="1" applyProtection="1">
      <protection hidden="1"/>
    </xf>
    <xf numFmtId="0" fontId="0" fillId="0" borderId="7" xfId="0" applyFill="1" applyBorder="1" applyProtection="1">
      <protection hidden="1"/>
    </xf>
    <xf numFmtId="0" fontId="52" fillId="0" borderId="0" xfId="0" applyFont="1" applyProtection="1">
      <protection hidden="1"/>
    </xf>
    <xf numFmtId="0" fontId="43" fillId="43" borderId="95" xfId="0" applyFont="1" applyFill="1" applyBorder="1" applyAlignment="1" applyProtection="1">
      <alignment horizontal="left"/>
      <protection hidden="1"/>
    </xf>
    <xf numFmtId="0" fontId="44" fillId="44" borderId="96" xfId="0" applyFont="1" applyFill="1" applyBorder="1" applyProtection="1">
      <protection hidden="1"/>
    </xf>
    <xf numFmtId="0" fontId="0" fillId="0" borderId="36" xfId="0" applyBorder="1" applyProtection="1">
      <protection hidden="1"/>
    </xf>
    <xf numFmtId="49" fontId="0" fillId="0" borderId="53" xfId="0" applyNumberFormat="1" applyBorder="1" applyProtection="1">
      <protection hidden="1"/>
    </xf>
    <xf numFmtId="0" fontId="8" fillId="8" borderId="133" xfId="0" applyFont="1" applyFill="1" applyBorder="1" applyProtection="1">
      <protection hidden="1"/>
    </xf>
    <xf numFmtId="0" fontId="8" fillId="8" borderId="6" xfId="0" applyFont="1" applyFill="1" applyBorder="1" applyProtection="1">
      <protection hidden="1"/>
    </xf>
    <xf numFmtId="49" fontId="44" fillId="44" borderId="96" xfId="0" applyNumberFormat="1" applyFont="1" applyFill="1" applyBorder="1" applyAlignment="1" applyProtection="1">
      <alignment horizontal="right"/>
      <protection hidden="1"/>
    </xf>
    <xf numFmtId="0" fontId="10" fillId="0" borderId="0" xfId="0" applyFont="1" applyAlignment="1" applyProtection="1">
      <alignment horizontal="center"/>
      <protection hidden="1"/>
    </xf>
    <xf numFmtId="0" fontId="53" fillId="0" borderId="0" xfId="0" applyFont="1" applyProtection="1">
      <protection hidden="1"/>
    </xf>
    <xf numFmtId="0" fontId="21" fillId="31" borderId="48" xfId="0" applyFont="1" applyFill="1" applyBorder="1" applyProtection="1">
      <protection hidden="1"/>
    </xf>
    <xf numFmtId="0" fontId="21" fillId="31" borderId="16" xfId="0" applyFont="1" applyFill="1" applyBorder="1" applyProtection="1">
      <protection hidden="1"/>
    </xf>
    <xf numFmtId="0" fontId="21" fillId="31" borderId="16" xfId="0" applyFont="1" applyFill="1" applyBorder="1"/>
    <xf numFmtId="0" fontId="28" fillId="0" borderId="0" xfId="0" applyFont="1" applyAlignment="1">
      <alignment horizontal="left" indent="5"/>
    </xf>
    <xf numFmtId="0" fontId="11" fillId="0" borderId="99" xfId="0" applyFont="1" applyBorder="1" applyProtection="1">
      <protection hidden="1"/>
    </xf>
    <xf numFmtId="14" fontId="11" fillId="0" borderId="100" xfId="0" applyNumberFormat="1" applyFont="1" applyBorder="1" applyAlignment="1" applyProtection="1">
      <alignment horizontal="left" vertical="center"/>
      <protection hidden="1"/>
    </xf>
    <xf numFmtId="0" fontId="11" fillId="0" borderId="48" xfId="0" applyFont="1" applyBorder="1" applyProtection="1">
      <protection hidden="1"/>
    </xf>
    <xf numFmtId="0" fontId="11" fillId="0" borderId="16" xfId="0" applyFont="1" applyBorder="1" applyProtection="1">
      <protection hidden="1"/>
    </xf>
    <xf numFmtId="0" fontId="11" fillId="0" borderId="49" xfId="0" applyFont="1" applyBorder="1" applyProtection="1">
      <protection hidden="1"/>
    </xf>
    <xf numFmtId="0" fontId="10" fillId="45" borderId="0" xfId="0" applyFont="1" applyFill="1" applyProtection="1">
      <protection hidden="1"/>
    </xf>
    <xf numFmtId="0" fontId="10" fillId="18" borderId="0" xfId="0" applyFont="1" applyFill="1" applyProtection="1">
      <protection hidden="1"/>
    </xf>
    <xf numFmtId="0" fontId="10" fillId="38" borderId="0" xfId="0" applyFont="1" applyFill="1" applyProtection="1">
      <protection hidden="1"/>
    </xf>
    <xf numFmtId="0" fontId="0" fillId="40" borderId="0" xfId="0" applyFill="1" applyAlignment="1" applyProtection="1">
      <alignment horizontal="center"/>
      <protection hidden="1"/>
    </xf>
    <xf numFmtId="0" fontId="0" fillId="34" borderId="0" xfId="0" applyFill="1" applyAlignment="1" applyProtection="1">
      <alignment horizontal="center"/>
      <protection hidden="1"/>
    </xf>
    <xf numFmtId="0" fontId="57" fillId="0" borderId="0" xfId="0" applyFont="1" applyAlignment="1" applyProtection="1">
      <alignment horizontal="center" vertical="center"/>
      <protection hidden="1"/>
    </xf>
    <xf numFmtId="0" fontId="52" fillId="35" borderId="0" xfId="0" applyFont="1" applyFill="1" applyAlignment="1" applyProtection="1">
      <alignment horizontal="center"/>
      <protection hidden="1"/>
    </xf>
    <xf numFmtId="0" fontId="0" fillId="0" borderId="113" xfId="0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43" xfId="0" applyBorder="1" applyProtection="1">
      <protection hidden="1"/>
    </xf>
    <xf numFmtId="0" fontId="11" fillId="38" borderId="49" xfId="0" applyFont="1" applyFill="1" applyBorder="1" applyAlignment="1" applyProtection="1">
      <alignment horizontal="center"/>
      <protection hidden="1"/>
    </xf>
    <xf numFmtId="0" fontId="11" fillId="45" borderId="101" xfId="0" applyFont="1" applyFill="1" applyBorder="1" applyAlignment="1" applyProtection="1">
      <alignment horizontal="center"/>
      <protection hidden="1"/>
    </xf>
    <xf numFmtId="0" fontId="11" fillId="18" borderId="49" xfId="0" applyFont="1" applyFill="1" applyBorder="1" applyAlignment="1" applyProtection="1">
      <alignment horizontal="center"/>
      <protection hidden="1"/>
    </xf>
    <xf numFmtId="0" fontId="0" fillId="23" borderId="0" xfId="0" applyFill="1" applyProtection="1">
      <protection hidden="1"/>
    </xf>
    <xf numFmtId="0" fontId="0" fillId="0" borderId="30" xfId="0" applyBorder="1" applyAlignment="1" applyProtection="1">
      <alignment vertical="center"/>
      <protection hidden="1"/>
    </xf>
    <xf numFmtId="0" fontId="0" fillId="0" borderId="114" xfId="0" applyBorder="1" applyAlignment="1" applyProtection="1">
      <alignment vertical="center"/>
      <protection hidden="1"/>
    </xf>
    <xf numFmtId="0" fontId="0" fillId="0" borderId="26" xfId="0" applyBorder="1" applyAlignment="1" applyProtection="1">
      <alignment vertical="center"/>
      <protection hidden="1"/>
    </xf>
    <xf numFmtId="0" fontId="0" fillId="0" borderId="16" xfId="0" applyBorder="1" applyAlignment="1" applyProtection="1">
      <alignment vertical="center"/>
      <protection hidden="1"/>
    </xf>
    <xf numFmtId="0" fontId="60" fillId="46" borderId="0" xfId="4" applyFont="1" applyFill="1" applyProtection="1"/>
    <xf numFmtId="0" fontId="59" fillId="46" borderId="0" xfId="4" applyFill="1"/>
    <xf numFmtId="0" fontId="62" fillId="46" borderId="0" xfId="4" applyFont="1" applyFill="1"/>
    <xf numFmtId="0" fontId="60" fillId="46" borderId="0" xfId="4" applyFont="1" applyFill="1"/>
    <xf numFmtId="0" fontId="64" fillId="46" borderId="0" xfId="4" applyFont="1" applyFill="1"/>
    <xf numFmtId="0" fontId="65" fillId="46" borderId="0" xfId="4" applyFont="1" applyFill="1"/>
    <xf numFmtId="0" fontId="46" fillId="39" borderId="135" xfId="0" applyFont="1" applyFill="1" applyBorder="1" applyAlignment="1">
      <alignment vertical="center"/>
    </xf>
    <xf numFmtId="0" fontId="46" fillId="39" borderId="26" xfId="0" applyFont="1" applyFill="1" applyBorder="1" applyAlignment="1">
      <alignment vertical="center"/>
    </xf>
    <xf numFmtId="0" fontId="47" fillId="39" borderId="26" xfId="0" applyFont="1" applyFill="1" applyBorder="1" applyAlignment="1" applyProtection="1">
      <alignment vertical="center" wrapText="1"/>
      <protection hidden="1"/>
    </xf>
    <xf numFmtId="0" fontId="4" fillId="30" borderId="26" xfId="0" applyFont="1" applyFill="1" applyBorder="1" applyAlignment="1">
      <alignment vertical="center"/>
    </xf>
    <xf numFmtId="0" fontId="4" fillId="39" borderId="26" xfId="0" applyFont="1" applyFill="1" applyBorder="1" applyAlignment="1">
      <alignment vertical="center"/>
    </xf>
    <xf numFmtId="0" fontId="12" fillId="28" borderId="26" xfId="0" applyFont="1" applyFill="1" applyBorder="1" applyAlignment="1">
      <alignment vertical="center"/>
    </xf>
    <xf numFmtId="0" fontId="4" fillId="39" borderId="28" xfId="0" applyFont="1" applyFill="1" applyBorder="1" applyAlignment="1">
      <alignment vertical="center"/>
    </xf>
    <xf numFmtId="0" fontId="0" fillId="0" borderId="5" xfId="0" applyBorder="1"/>
    <xf numFmtId="0" fontId="45" fillId="12" borderId="134" xfId="0" applyFont="1" applyFill="1" applyBorder="1" applyAlignment="1">
      <alignment horizontal="center" vertical="center"/>
    </xf>
    <xf numFmtId="16" fontId="0" fillId="0" borderId="4" xfId="0" applyNumberFormat="1" applyBorder="1"/>
    <xf numFmtId="0" fontId="45" fillId="12" borderId="134" xfId="0" applyFont="1" applyFill="1" applyBorder="1" applyAlignment="1">
      <alignment horizontal="left" vertical="center"/>
    </xf>
    <xf numFmtId="14" fontId="0" fillId="0" borderId="4" xfId="0" applyNumberFormat="1" applyBorder="1"/>
    <xf numFmtId="168" fontId="59" fillId="46" borderId="0" xfId="4" applyNumberFormat="1" applyFill="1"/>
    <xf numFmtId="0" fontId="9" fillId="10" borderId="45" xfId="0" applyFont="1" applyFill="1" applyBorder="1" applyAlignment="1" applyProtection="1">
      <alignment horizontal="center"/>
      <protection hidden="1"/>
    </xf>
    <xf numFmtId="0" fontId="9" fillId="10" borderId="46" xfId="0" applyFont="1" applyFill="1" applyBorder="1" applyAlignment="1" applyProtection="1">
      <alignment horizontal="center"/>
      <protection hidden="1"/>
    </xf>
    <xf numFmtId="49" fontId="8" fillId="0" borderId="0" xfId="0" applyNumberFormat="1" applyFont="1" applyFill="1" applyBorder="1" applyAlignment="1" applyProtection="1">
      <alignment horizontal="center" vertical="center"/>
      <protection hidden="1"/>
    </xf>
    <xf numFmtId="0" fontId="55" fillId="0" borderId="0" xfId="0" applyFont="1" applyAlignment="1" applyProtection="1">
      <alignment horizontal="left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54" fillId="0" borderId="0" xfId="0" applyFont="1" applyAlignment="1" applyProtection="1">
      <alignment horizontal="center" vertical="center"/>
      <protection hidden="1"/>
    </xf>
    <xf numFmtId="0" fontId="8" fillId="12" borderId="39" xfId="0" applyFont="1" applyFill="1" applyBorder="1" applyAlignment="1" applyProtection="1">
      <alignment horizontal="center"/>
      <protection hidden="1"/>
    </xf>
    <xf numFmtId="0" fontId="8" fillId="12" borderId="47" xfId="0" applyFont="1" applyFill="1" applyBorder="1" applyAlignment="1" applyProtection="1">
      <alignment horizontal="center"/>
      <protection hidden="1"/>
    </xf>
    <xf numFmtId="0" fontId="9" fillId="16" borderId="40" xfId="0" applyFont="1" applyFill="1" applyBorder="1" applyAlignment="1" applyProtection="1">
      <alignment horizontal="center"/>
      <protection hidden="1"/>
    </xf>
    <xf numFmtId="0" fontId="9" fillId="16" borderId="41" xfId="0" applyFont="1" applyFill="1" applyBorder="1" applyAlignment="1" applyProtection="1">
      <alignment horizontal="center"/>
      <protection hidden="1"/>
    </xf>
    <xf numFmtId="0" fontId="9" fillId="26" borderId="56" xfId="0" applyFont="1" applyFill="1" applyBorder="1" applyAlignment="1" applyProtection="1">
      <alignment horizontal="center" vertical="center"/>
      <protection hidden="1"/>
    </xf>
    <xf numFmtId="0" fontId="9" fillId="26" borderId="57" xfId="0" applyFont="1" applyFill="1" applyBorder="1" applyAlignment="1" applyProtection="1">
      <alignment horizontal="center" vertical="center"/>
      <protection hidden="1"/>
    </xf>
    <xf numFmtId="0" fontId="6" fillId="2" borderId="55" xfId="0" applyNumberFormat="1" applyFont="1" applyFill="1" applyBorder="1" applyAlignment="1" applyProtection="1">
      <alignment horizontal="center"/>
      <protection hidden="1"/>
    </xf>
    <xf numFmtId="0" fontId="6" fillId="2" borderId="12" xfId="0" applyNumberFormat="1" applyFont="1" applyFill="1" applyBorder="1" applyAlignment="1" applyProtection="1">
      <alignment horizontal="center"/>
      <protection hidden="1"/>
    </xf>
    <xf numFmtId="0" fontId="8" fillId="22" borderId="32" xfId="0" applyFont="1" applyFill="1" applyBorder="1" applyAlignment="1" applyProtection="1">
      <alignment horizontal="center"/>
      <protection hidden="1"/>
    </xf>
    <xf numFmtId="0" fontId="0" fillId="22" borderId="33" xfId="0" applyFill="1" applyBorder="1" applyAlignment="1" applyProtection="1">
      <alignment horizontal="center"/>
      <protection hidden="1"/>
    </xf>
    <xf numFmtId="0" fontId="8" fillId="30" borderId="69" xfId="0" applyFont="1" applyFill="1" applyBorder="1" applyAlignment="1" applyProtection="1">
      <alignment horizontal="center" vertical="center"/>
      <protection hidden="1"/>
    </xf>
    <xf numFmtId="0" fontId="8" fillId="30" borderId="70" xfId="0" applyFont="1" applyFill="1" applyBorder="1" applyAlignment="1" applyProtection="1">
      <alignment horizontal="center" vertical="center"/>
      <protection hidden="1"/>
    </xf>
    <xf numFmtId="49" fontId="8" fillId="15" borderId="65" xfId="0" applyNumberFormat="1" applyFont="1" applyFill="1" applyBorder="1" applyAlignment="1" applyProtection="1">
      <alignment horizontal="center"/>
      <protection hidden="1"/>
    </xf>
    <xf numFmtId="49" fontId="8" fillId="15" borderId="66" xfId="0" applyNumberFormat="1" applyFont="1" applyFill="1" applyBorder="1" applyAlignment="1" applyProtection="1">
      <alignment horizontal="center"/>
      <protection hidden="1"/>
    </xf>
    <xf numFmtId="0" fontId="9" fillId="23" borderId="39" xfId="0" applyFont="1" applyFill="1" applyBorder="1" applyAlignment="1" applyProtection="1">
      <alignment horizontal="center"/>
      <protection hidden="1"/>
    </xf>
    <xf numFmtId="0" fontId="9" fillId="23" borderId="47" xfId="0" applyFont="1" applyFill="1" applyBorder="1" applyAlignment="1" applyProtection="1">
      <alignment horizontal="center"/>
      <protection hidden="1"/>
    </xf>
    <xf numFmtId="0" fontId="29" fillId="0" borderId="1" xfId="0" applyFont="1" applyFill="1" applyBorder="1" applyAlignment="1" applyProtection="1">
      <alignment horizontal="center"/>
      <protection hidden="1"/>
    </xf>
    <xf numFmtId="0" fontId="9" fillId="8" borderId="1" xfId="0" applyFont="1" applyFill="1" applyBorder="1" applyAlignment="1" applyProtection="1">
      <alignment horizontal="center"/>
      <protection hidden="1"/>
    </xf>
    <xf numFmtId="49" fontId="8" fillId="7" borderId="45" xfId="0" applyNumberFormat="1" applyFont="1" applyFill="1" applyBorder="1" applyAlignment="1" applyProtection="1">
      <alignment horizontal="center" vertical="center"/>
      <protection hidden="1"/>
    </xf>
    <xf numFmtId="49" fontId="8" fillId="7" borderId="46" xfId="0" applyNumberFormat="1" applyFont="1" applyFill="1" applyBorder="1" applyAlignment="1" applyProtection="1">
      <alignment horizontal="center" vertical="center"/>
      <protection hidden="1"/>
    </xf>
    <xf numFmtId="0" fontId="58" fillId="35" borderId="0" xfId="0" applyFont="1" applyFill="1" applyAlignment="1" applyProtection="1">
      <alignment horizontal="center"/>
      <protection hidden="1"/>
    </xf>
    <xf numFmtId="0" fontId="56" fillId="41" borderId="0" xfId="0" applyFont="1" applyFill="1" applyAlignment="1" applyProtection="1">
      <alignment horizontal="center"/>
      <protection hidden="1"/>
    </xf>
    <xf numFmtId="0" fontId="9" fillId="36" borderId="45" xfId="0" applyFont="1" applyFill="1" applyBorder="1" applyAlignment="1" applyProtection="1">
      <alignment horizontal="center"/>
      <protection hidden="1"/>
    </xf>
    <xf numFmtId="0" fontId="9" fillId="36" borderId="119" xfId="0" applyFont="1" applyFill="1" applyBorder="1" applyAlignment="1" applyProtection="1">
      <alignment horizontal="center"/>
      <protection hidden="1"/>
    </xf>
    <xf numFmtId="0" fontId="9" fillId="36" borderId="46" xfId="0" applyFont="1" applyFill="1" applyBorder="1" applyAlignment="1" applyProtection="1">
      <alignment horizontal="center"/>
      <protection hidden="1"/>
    </xf>
    <xf numFmtId="0" fontId="10" fillId="31" borderId="8" xfId="0" applyFont="1" applyFill="1" applyBorder="1" applyAlignment="1" applyProtection="1">
      <alignment horizontal="center"/>
      <protection hidden="1"/>
    </xf>
    <xf numFmtId="0" fontId="10" fillId="31" borderId="11" xfId="0" applyFont="1" applyFill="1" applyBorder="1" applyAlignment="1" applyProtection="1">
      <alignment horizontal="center"/>
      <protection hidden="1"/>
    </xf>
    <xf numFmtId="49" fontId="8" fillId="8" borderId="45" xfId="0" applyNumberFormat="1" applyFont="1" applyFill="1" applyBorder="1" applyAlignment="1" applyProtection="1">
      <alignment horizontal="center" vertical="center"/>
      <protection hidden="1"/>
    </xf>
    <xf numFmtId="49" fontId="8" fillId="8" borderId="46" xfId="0" applyNumberFormat="1" applyFont="1" applyFill="1" applyBorder="1" applyAlignment="1" applyProtection="1">
      <alignment horizontal="center" vertical="center"/>
      <protection hidden="1"/>
    </xf>
    <xf numFmtId="0" fontId="29" fillId="7" borderId="1" xfId="0" applyFont="1" applyFill="1" applyBorder="1" applyAlignment="1" applyProtection="1">
      <alignment horizontal="center"/>
      <protection hidden="1"/>
    </xf>
    <xf numFmtId="0" fontId="61" fillId="46" borderId="0" xfId="4" applyFont="1" applyFill="1" applyBorder="1" applyAlignment="1" applyProtection="1">
      <alignment horizontal="left"/>
      <protection locked="0"/>
    </xf>
    <xf numFmtId="0" fontId="61" fillId="46" borderId="132" xfId="4" applyFont="1" applyFill="1" applyBorder="1" applyAlignment="1" applyProtection="1">
      <alignment horizontal="left"/>
      <protection locked="0"/>
    </xf>
    <xf numFmtId="0" fontId="63" fillId="46" borderId="0" xfId="4" applyFont="1" applyFill="1" applyAlignment="1">
      <alignment horizontal="center" vertical="center"/>
    </xf>
    <xf numFmtId="0" fontId="7" fillId="0" borderId="0" xfId="0" applyFont="1" applyAlignment="1">
      <alignment horizontal="right"/>
    </xf>
    <xf numFmtId="0" fontId="6" fillId="24" borderId="0" xfId="0" applyFont="1" applyFill="1" applyBorder="1" applyAlignment="1">
      <alignment horizontal="center" vertical="center"/>
    </xf>
  </cellXfs>
  <cellStyles count="5">
    <cellStyle name="Lien hypertexte" xfId="3" builtinId="8"/>
    <cellStyle name="Milliers" xfId="1" builtinId="3"/>
    <cellStyle name="Normal" xfId="0" builtinId="0"/>
    <cellStyle name="Normal 2" xfId="2"/>
    <cellStyle name="Normal 3" xfId="4"/>
  </cellStyles>
  <dxfs count="0"/>
  <tableStyles count="0" defaultTableStyle="TableStyleMedium9" defaultPivotStyle="PivotStyleLight16"/>
  <colors>
    <mruColors>
      <color rgb="FFFF7C80"/>
      <color rgb="FFDBF5E2"/>
      <color rgb="FFF0F1BF"/>
      <color rgb="FFF4DCDE"/>
      <color rgb="FF660033"/>
      <color rgb="FF66FF66"/>
      <color rgb="FFB935A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ZOPLUS/AppData/Roaming/Microsoft/Excel/Documents%20and%20Settings/bf0057/Bureau/SGIIOC/S%20G%20I%20I%20O%20C%20Z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ZOPLUS/AppData/Roaming/Microsoft/Excel/Users/BENZOPLUS/AppData/Local/Microsoft/Windows/Temporary%20Internet%20Files/Content.Outlook/WJXJ2O7Q/BASE%20DE%20DONNE/MODELE%20OUVERTURE/GROUPE%20DE%20TRAVAIL%20OUVSIEG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ETRE"/>
      <sheetName val="DONNE"/>
      <sheetName val="FRGLE"/>
      <sheetName val="PF"/>
      <sheetName val="PFA"/>
      <sheetName val="PEA"/>
      <sheetName val="PS"/>
      <sheetName val="PB"/>
      <sheetName val="SPECI"/>
      <sheetName val="DCHQ"/>
      <sheetName val="ENGAGE"/>
      <sheetName val="VP"/>
      <sheetName val="CLISTE"/>
      <sheetName val="SESAME"/>
      <sheetName val="DPRIVE"/>
      <sheetName val="SOLDE"/>
      <sheetName val="FRA"/>
      <sheetName val="PSA"/>
      <sheetName val="DOMRET"/>
      <sheetName val="DRET"/>
      <sheetName val="ETAT"/>
      <sheetName val="MONETIQUE"/>
      <sheetName val="BSMS"/>
      <sheetName val="Feuil1"/>
    </sheetNames>
    <sheetDataSet>
      <sheetData sheetId="0">
        <row r="74">
          <cell r="A74" t="str">
            <v xml:space="preserve">COMPTE CHEQUE </v>
          </cell>
        </row>
        <row r="75">
          <cell r="A75" t="str">
            <v xml:space="preserve">COMPTE EPARGNE PRIVE </v>
          </cell>
        </row>
        <row r="76">
          <cell r="A76" t="str">
            <v>COMPTE EPARGNE PUBLIQUE</v>
          </cell>
        </row>
        <row r="77">
          <cell r="A77" t="str">
            <v>COMPTE CHEQUE+SESAME</v>
          </cell>
        </row>
        <row r="78">
          <cell r="A78" t="str">
            <v>COMPTE CHEQUE+BSMS</v>
          </cell>
        </row>
        <row r="79">
          <cell r="A79" t="str">
            <v>COMPTE CHEQUE+BSMS+SESAME</v>
          </cell>
        </row>
        <row r="80">
          <cell r="A80" t="str">
            <v>COMPTE EPARGNE PRIVE+BSMS</v>
          </cell>
        </row>
        <row r="81">
          <cell r="A81" t="str">
            <v>COMPTE EPARGNE PRIVE+BSMS+SESAME</v>
          </cell>
        </row>
        <row r="82">
          <cell r="A82" t="str">
            <v>COMPTE EPARGNE PRIVE+SESAME</v>
          </cell>
        </row>
        <row r="83">
          <cell r="A83" t="str">
            <v>COMPTE EPARGNE PUBLIQUE+BSMS</v>
          </cell>
        </row>
        <row r="84">
          <cell r="A84" t="str">
            <v>COMPTE EPARGNE PUBLIQUE+SESAME</v>
          </cell>
        </row>
        <row r="85">
          <cell r="A85" t="str">
            <v>COMPTE EPARGNE PUBLIQUE+BSMS+SESAME</v>
          </cell>
        </row>
        <row r="89">
          <cell r="D89">
            <v>5</v>
          </cell>
        </row>
        <row r="98">
          <cell r="C98" t="str">
            <v xml:space="preserve">ZOMA 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8">
          <cell r="C8" t="str">
            <v xml:space="preserve">ZOMA 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ONNE"/>
      <sheetName val="FR GLE"/>
      <sheetName val="DOM PRIVE"/>
      <sheetName val="DMDE SESAME"/>
      <sheetName val="CONDITIONS GLES"/>
      <sheetName val="VIREMENT PERMANENT"/>
    </sheetNames>
    <sheetDataSet>
      <sheetData sheetId="0">
        <row r="4">
          <cell r="D4">
            <v>8</v>
          </cell>
        </row>
      </sheetData>
      <sheetData sheetId="1" refreshError="1"/>
      <sheetData sheetId="2">
        <row r="8">
          <cell r="C8" t="str">
            <v xml:space="preserve">GNOUMOU 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thiombiano@boaburkinafaso.com" TargetMode="External"/><Relationship Id="rId13" Type="http://schemas.openxmlformats.org/officeDocument/2006/relationships/hyperlink" Target="mailto:mbambara@boaburkinafaso.com" TargetMode="External"/><Relationship Id="rId18" Type="http://schemas.openxmlformats.org/officeDocument/2006/relationships/hyperlink" Target="mailto:sdiallo@boaburkinafaso.com" TargetMode="External"/><Relationship Id="rId26" Type="http://schemas.openxmlformats.org/officeDocument/2006/relationships/hyperlink" Target="mailto:etoe@boaburkinafaso.com" TargetMode="External"/><Relationship Id="rId3" Type="http://schemas.openxmlformats.org/officeDocument/2006/relationships/hyperlink" Target="mailto:mtarpilga@boaburkinafaso.com" TargetMode="External"/><Relationship Id="rId21" Type="http://schemas.openxmlformats.org/officeDocument/2006/relationships/hyperlink" Target="mailto:idrabo@boaburkinafaso.com" TargetMode="External"/><Relationship Id="rId34" Type="http://schemas.openxmlformats.org/officeDocument/2006/relationships/hyperlink" Target="mailto:jsimpore@boaburkinafaso.com" TargetMode="External"/><Relationship Id="rId7" Type="http://schemas.openxmlformats.org/officeDocument/2006/relationships/hyperlink" Target="mailto:mboyarm@boaburkinafaso.com" TargetMode="External"/><Relationship Id="rId12" Type="http://schemas.openxmlformats.org/officeDocument/2006/relationships/hyperlink" Target="mailto:ssidibe@boaburkinafaso.com" TargetMode="External"/><Relationship Id="rId17" Type="http://schemas.openxmlformats.org/officeDocument/2006/relationships/hyperlink" Target="mailto:isanogo@boaburkinafaso.com" TargetMode="External"/><Relationship Id="rId25" Type="http://schemas.openxmlformats.org/officeDocument/2006/relationships/hyperlink" Target="mailto:fajanohoun@boaburkinafaso.com" TargetMode="External"/><Relationship Id="rId33" Type="http://schemas.openxmlformats.org/officeDocument/2006/relationships/hyperlink" Target="mailto:mbassonon@boaburkinafaso.com" TargetMode="External"/><Relationship Id="rId2" Type="http://schemas.openxmlformats.org/officeDocument/2006/relationships/hyperlink" Target="mailto:mkano@boaburkinafaso.com" TargetMode="External"/><Relationship Id="rId16" Type="http://schemas.openxmlformats.org/officeDocument/2006/relationships/hyperlink" Target="mailto:couedraogo@boaburkinafaso.com" TargetMode="External"/><Relationship Id="rId20" Type="http://schemas.openxmlformats.org/officeDocument/2006/relationships/hyperlink" Target="mailto:czongo@boaburkinafaso.com" TargetMode="External"/><Relationship Id="rId29" Type="http://schemas.openxmlformats.org/officeDocument/2006/relationships/hyperlink" Target="mailto:bilboudo@boaburkinafaso.com" TargetMode="External"/><Relationship Id="rId1" Type="http://schemas.openxmlformats.org/officeDocument/2006/relationships/hyperlink" Target="mailto:mkano@boaburkinafaso.com" TargetMode="External"/><Relationship Id="rId6" Type="http://schemas.openxmlformats.org/officeDocument/2006/relationships/hyperlink" Target="mailto:gdambina@boaburkinafaso.com" TargetMode="External"/><Relationship Id="rId11" Type="http://schemas.openxmlformats.org/officeDocument/2006/relationships/hyperlink" Target="mailto:msoalla@boaburkinafaso.com" TargetMode="External"/><Relationship Id="rId24" Type="http://schemas.openxmlformats.org/officeDocument/2006/relationships/hyperlink" Target="mailto:ayameogo@boaburkinafaso.com" TargetMode="External"/><Relationship Id="rId32" Type="http://schemas.openxmlformats.org/officeDocument/2006/relationships/hyperlink" Target="mailto:eki@boaburkinafaso.com" TargetMode="External"/><Relationship Id="rId5" Type="http://schemas.openxmlformats.org/officeDocument/2006/relationships/hyperlink" Target="mailto:mmaiga@boaburkinafaso.com" TargetMode="External"/><Relationship Id="rId15" Type="http://schemas.openxmlformats.org/officeDocument/2006/relationships/hyperlink" Target="mailto:touedraogo@boaburkinafaso.com" TargetMode="External"/><Relationship Id="rId23" Type="http://schemas.openxmlformats.org/officeDocument/2006/relationships/hyperlink" Target="mailto:bcoulibaly@boaburkinafaso.com" TargetMode="External"/><Relationship Id="rId28" Type="http://schemas.openxmlformats.org/officeDocument/2006/relationships/hyperlink" Target="mailto:adiane@boaburkinafaso.com" TargetMode="External"/><Relationship Id="rId10" Type="http://schemas.openxmlformats.org/officeDocument/2006/relationships/hyperlink" Target="mailto:abarry@boaburkinafaso.com" TargetMode="External"/><Relationship Id="rId19" Type="http://schemas.openxmlformats.org/officeDocument/2006/relationships/hyperlink" Target="mailto:nbakone@boaburkinafaso.com" TargetMode="External"/><Relationship Id="rId31" Type="http://schemas.openxmlformats.org/officeDocument/2006/relationships/hyperlink" Target="mailto:rsangli@boaburkinafaso.com" TargetMode="External"/><Relationship Id="rId4" Type="http://schemas.openxmlformats.org/officeDocument/2006/relationships/hyperlink" Target="mailto:mzagre@boaburkinafaso.com" TargetMode="External"/><Relationship Id="rId9" Type="http://schemas.openxmlformats.org/officeDocument/2006/relationships/hyperlink" Target="mailto:msanou@boaburkinafaso.com" TargetMode="External"/><Relationship Id="rId14" Type="http://schemas.openxmlformats.org/officeDocument/2006/relationships/hyperlink" Target="mailto:mbama@boaburkinafaso.com" TargetMode="External"/><Relationship Id="rId22" Type="http://schemas.openxmlformats.org/officeDocument/2006/relationships/hyperlink" Target="mailto:bzongo@boaburkinafaso.com" TargetMode="External"/><Relationship Id="rId27" Type="http://schemas.openxmlformats.org/officeDocument/2006/relationships/hyperlink" Target="mailto:bouedraogo@boaburkinafaso.com" TargetMode="External"/><Relationship Id="rId30" Type="http://schemas.openxmlformats.org/officeDocument/2006/relationships/hyperlink" Target="mailto:akonate@boaburkinafaso.com" TargetMode="External"/><Relationship Id="rId35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1"/>
  <dimension ref="A1:AN817"/>
  <sheetViews>
    <sheetView showGridLines="0" topLeftCell="A52" zoomScale="85" zoomScaleNormal="85" workbookViewId="0">
      <selection activeCell="C57" sqref="C57"/>
    </sheetView>
  </sheetViews>
  <sheetFormatPr baseColWidth="10" defaultRowHeight="15"/>
  <cols>
    <col min="1" max="1" width="50.85546875" style="1" customWidth="1"/>
    <col min="2" max="2" width="4.7109375" style="1" customWidth="1"/>
    <col min="3" max="3" width="27.5703125" style="1" customWidth="1"/>
    <col min="4" max="4" width="60.28515625" style="1" customWidth="1"/>
    <col min="5" max="5" width="4.85546875" style="1" customWidth="1"/>
    <col min="6" max="6" width="16.28515625" style="1" customWidth="1"/>
    <col min="7" max="7" width="20.7109375" style="1" customWidth="1"/>
    <col min="8" max="8" width="4.85546875" style="215" customWidth="1"/>
    <col min="9" max="9" width="27.85546875" style="1" customWidth="1"/>
    <col min="10" max="10" width="13.140625" style="1" customWidth="1"/>
    <col min="11" max="11" width="25.85546875" style="1" customWidth="1"/>
    <col min="12" max="12" width="13.140625" style="1" customWidth="1"/>
    <col min="13" max="13" width="26.7109375" style="218" customWidth="1"/>
    <col min="14" max="14" width="6.7109375" style="1" customWidth="1"/>
    <col min="15" max="15" width="11.42578125" style="1"/>
    <col min="16" max="16" width="29.85546875" style="1" customWidth="1"/>
    <col min="17" max="17" width="11.5703125" style="1" bestFit="1" customWidth="1"/>
    <col min="18" max="18" width="37.85546875" style="1" customWidth="1"/>
    <col min="19" max="19" width="16.140625" style="1" customWidth="1"/>
    <col min="20" max="20" width="11.140625" style="1" customWidth="1"/>
    <col min="21" max="21" width="32.28515625" style="1" customWidth="1"/>
    <col min="22" max="22" width="38.5703125" style="1" customWidth="1"/>
    <col min="23" max="23" width="23.140625" style="1" customWidth="1"/>
    <col min="24" max="24" width="14.85546875" style="1" customWidth="1"/>
    <col min="25" max="25" width="11.42578125" style="430"/>
    <col min="26" max="26" width="7" style="1" customWidth="1"/>
    <col min="27" max="27" width="10.42578125" style="1" customWidth="1"/>
    <col min="28" max="29" width="11.42578125" style="1"/>
    <col min="30" max="30" width="16" style="1" customWidth="1"/>
    <col min="31" max="31" width="27" style="1" customWidth="1"/>
    <col min="32" max="32" width="24.140625" style="1" customWidth="1"/>
    <col min="33" max="16384" width="11.42578125" style="1"/>
  </cols>
  <sheetData>
    <row r="1" spans="1:40" ht="19.5" thickBot="1">
      <c r="C1" s="277" t="s">
        <v>392</v>
      </c>
      <c r="I1" s="216" t="e">
        <f t="array" ref="I1">SUM(IF(LEFT(liste_code,2)=LEFT(#REF!,2),1,""))</f>
        <v>#REF!</v>
      </c>
      <c r="J1" s="217" t="e">
        <f t="array" ref="J1">MATCH(LEFT(#REF!,2),LEFT(liste_code,2),0)</f>
        <v>#REF!</v>
      </c>
      <c r="K1" s="548" t="s">
        <v>2237</v>
      </c>
      <c r="L1" s="548"/>
      <c r="M1" s="548"/>
      <c r="AA1" s="219" t="str">
        <f t="shared" ref="AA1:AA45" si="0">IF(ISERROR(INDEX(F$5:F$76,SMALL(Z:Z,ROW(F1)))),"",INDEX(F$5:F$76,SMALL(Z:Z,ROW(F5))))</f>
        <v>BF0045</v>
      </c>
      <c r="AJ1" s="547" t="s">
        <v>2256</v>
      </c>
      <c r="AK1" s="547"/>
      <c r="AL1" s="547"/>
      <c r="AM1" s="547"/>
      <c r="AN1" s="497" t="e">
        <f>VLOOKUP(#REF!,PARAMETRE!$AJ$3:$AK$50,2,FALSE)</f>
        <v>#REF!</v>
      </c>
    </row>
    <row r="2" spans="1:40" ht="17.25">
      <c r="C2" s="278" t="s">
        <v>393</v>
      </c>
      <c r="F2" s="62" t="s">
        <v>162</v>
      </c>
      <c r="G2" s="63" t="s">
        <v>89</v>
      </c>
      <c r="K2" s="366" t="e">
        <f>VLOOKUP(#REF!,PARAMETRE!F5:H116,3,0)</f>
        <v>#REF!</v>
      </c>
      <c r="L2" s="487" t="e">
        <f>MATCH(VLOOKUP(#REF!,PARAMETRE!F5:H116,3,0),PARAMETRE!H5:H116,0)</f>
        <v>#REF!</v>
      </c>
      <c r="M2" s="488">
        <f>COUNTIF(PARAMETRE!H5:H116,K2)</f>
        <v>0</v>
      </c>
      <c r="AA2" s="219" t="str">
        <f t="shared" si="0"/>
        <v>BF0230</v>
      </c>
      <c r="AD2" s="525"/>
      <c r="AE2" s="525"/>
      <c r="AF2" s="525"/>
      <c r="AG2" s="525"/>
    </row>
    <row r="3" spans="1:40" ht="15.75" thickBot="1">
      <c r="AA3" s="219" t="str">
        <f t="shared" si="0"/>
        <v>BF0013</v>
      </c>
      <c r="AJ3" s="498" t="s">
        <v>2249</v>
      </c>
      <c r="AK3" s="499" t="s">
        <v>2248</v>
      </c>
      <c r="AL3" s="499"/>
      <c r="AM3" s="330"/>
    </row>
    <row r="4" spans="1:40" ht="18.75" thickTop="1" thickBot="1">
      <c r="A4" s="46" t="s">
        <v>128</v>
      </c>
      <c r="C4" s="29" t="s">
        <v>38</v>
      </c>
      <c r="D4" s="33" t="s">
        <v>4</v>
      </c>
      <c r="F4" s="194"/>
      <c r="G4" s="195"/>
      <c r="I4" s="70" t="s">
        <v>141</v>
      </c>
      <c r="J4" s="125" t="s">
        <v>165</v>
      </c>
      <c r="K4" s="120" t="s">
        <v>143</v>
      </c>
      <c r="L4" s="121" t="s">
        <v>144</v>
      </c>
      <c r="M4" s="121" t="s">
        <v>168</v>
      </c>
      <c r="O4" s="109" t="s">
        <v>1</v>
      </c>
      <c r="P4" s="137" t="s">
        <v>122</v>
      </c>
      <c r="Q4" s="137" t="s">
        <v>403</v>
      </c>
      <c r="R4" s="137" t="s">
        <v>125</v>
      </c>
      <c r="S4" s="110" t="s">
        <v>127</v>
      </c>
      <c r="U4" s="33" t="s">
        <v>123</v>
      </c>
      <c r="V4" s="34" t="s">
        <v>124</v>
      </c>
      <c r="W4" s="34" t="s">
        <v>126</v>
      </c>
      <c r="X4" s="33" t="s">
        <v>127</v>
      </c>
      <c r="Z4" s="220">
        <f>IF(COUNTIF(F5:F$106,F5)=1,ROW(F1),"")</f>
        <v>1</v>
      </c>
      <c r="AA4" s="219" t="str">
        <f t="shared" si="0"/>
        <v>INT12</v>
      </c>
      <c r="AE4" s="524" t="s">
        <v>2211</v>
      </c>
      <c r="AF4" s="524"/>
      <c r="AG4" s="524"/>
      <c r="AH4" s="524"/>
      <c r="AJ4" s="500" t="s">
        <v>2250</v>
      </c>
      <c r="AK4" s="501" t="s">
        <v>2251</v>
      </c>
      <c r="AL4" s="501"/>
      <c r="AM4" s="327"/>
    </row>
    <row r="5" spans="1:40" ht="18" thickBot="1">
      <c r="A5" s="47" t="s">
        <v>137</v>
      </c>
      <c r="C5" s="30" t="s">
        <v>16</v>
      </c>
      <c r="D5" s="35" t="s">
        <v>13</v>
      </c>
      <c r="F5" s="182" t="s">
        <v>246</v>
      </c>
      <c r="G5" s="184" t="s">
        <v>262</v>
      </c>
      <c r="H5" s="215">
        <v>1</v>
      </c>
      <c r="I5" s="64" t="s">
        <v>90</v>
      </c>
      <c r="J5" s="114">
        <v>1001</v>
      </c>
      <c r="K5" s="64" t="e">
        <f>IF(MID(#REF!,3,1)="1","AGENCE CENTRALE","")</f>
        <v>#REF!</v>
      </c>
      <c r="L5" s="117" t="e">
        <f>IF(AND($D$134=$J$5,$D$137&lt;=80),($D$137+17),IF(AND($D$134=$J$5,$D$137&gt;80),($D$137-80),IF($D$134&lt;&gt;$J$5,"")))</f>
        <v>#VALUE!</v>
      </c>
      <c r="M5" s="64" t="s">
        <v>65</v>
      </c>
      <c r="O5" s="201" t="s">
        <v>262</v>
      </c>
      <c r="P5" s="221" t="s">
        <v>263</v>
      </c>
      <c r="Q5" s="222">
        <v>70217152</v>
      </c>
      <c r="R5" s="223" t="s">
        <v>264</v>
      </c>
      <c r="S5" s="224" t="s">
        <v>215</v>
      </c>
      <c r="U5" s="35" t="str">
        <f>+IF(COUNTIF(O5:S43,#REF!)=0,"",VLOOKUP(#REF!,O5:S43,2,FALSE))</f>
        <v/>
      </c>
      <c r="V5" s="36" t="str">
        <f>+IF(COUNTIF(O5:S43,#REF!)=0,"",VLOOKUP(#REF!,O5:S43,3,FALSE))</f>
        <v/>
      </c>
      <c r="W5" s="36" t="str">
        <f>IF(COUNTIF(O5:S43,#REF!)=0,"",VLOOKUP(#REF!,O5:S43,4,FALSE))</f>
        <v/>
      </c>
      <c r="X5" s="111" t="str">
        <f>+IF(COUNTIF(O5:S43,#REF!)=0,"",VLOOKUP(#REF!,O5:S43,5,FALSE))</f>
        <v/>
      </c>
      <c r="Z5" s="220">
        <f>IF(COUNTIF(F6:F$106,F6)=1,ROW(F2),"")</f>
        <v>2</v>
      </c>
      <c r="AA5" s="219" t="str">
        <f t="shared" si="0"/>
        <v>BF0204</v>
      </c>
      <c r="AJ5" s="500" t="s">
        <v>2252</v>
      </c>
      <c r="AK5" s="501" t="s">
        <v>2254</v>
      </c>
      <c r="AL5" s="501"/>
      <c r="AM5" s="327"/>
    </row>
    <row r="6" spans="1:40" ht="17.25">
      <c r="A6" s="48" t="s">
        <v>138</v>
      </c>
      <c r="C6" s="31" t="s">
        <v>17</v>
      </c>
      <c r="D6" s="37" t="s">
        <v>49</v>
      </c>
      <c r="F6" s="82" t="s">
        <v>247</v>
      </c>
      <c r="G6" s="83" t="s">
        <v>261</v>
      </c>
      <c r="H6" s="215">
        <v>1</v>
      </c>
      <c r="I6" s="65" t="s">
        <v>108</v>
      </c>
      <c r="J6" s="115">
        <v>2001</v>
      </c>
      <c r="K6" s="65" t="e">
        <f>IF(AND(MID(#REF!,3,1)="2",MID(#REF!,3,2)&lt;"26"),"AGENCE BOBO-DIOULASSO","")</f>
        <v>#REF!</v>
      </c>
      <c r="L6" s="117" t="e">
        <f>+IF(AND($D$134=$J$6,$D$137&gt;=57),($D$137-56),IF(AND($D$134=$J$6,$D$137&lt;57),($D$137+41),IF($D$134&lt;&gt;$J$6,"")))</f>
        <v>#VALUE!</v>
      </c>
      <c r="M6" s="64" t="s">
        <v>169</v>
      </c>
      <c r="O6" s="201" t="s">
        <v>265</v>
      </c>
      <c r="P6" s="202" t="s">
        <v>266</v>
      </c>
      <c r="Q6" s="204">
        <v>70217352</v>
      </c>
      <c r="R6" s="138" t="s">
        <v>267</v>
      </c>
      <c r="S6" s="139" t="s">
        <v>268</v>
      </c>
      <c r="U6" s="527" t="str">
        <f>IF(X5="M","le","la")</f>
        <v>la</v>
      </c>
      <c r="V6" s="528"/>
      <c r="W6" s="39" t="e">
        <f>IF(#REF!="Mr","Cher Client","Chère Cliente")</f>
        <v>#REF!</v>
      </c>
      <c r="X6" s="38"/>
      <c r="Z6" s="220">
        <f>IF(COUNTIF(F7:F$106,F7)=1,ROW(F3),"")</f>
        <v>3</v>
      </c>
      <c r="AA6" s="219" t="str">
        <f t="shared" si="0"/>
        <v>BF0120</v>
      </c>
      <c r="AD6" s="479" t="s">
        <v>2213</v>
      </c>
      <c r="AE6" s="480">
        <f ca="1">TODAY()</f>
        <v>41175</v>
      </c>
      <c r="AF6" s="495" t="e">
        <f>IF(OR(COUNTIF(#REF!,"*pack salaria p*")=1,COUNTIF(#REF!,"*pack mon*")=1,#REF!="pack fonxionaria",COUNTIF(#REF!,"*SESAME*")=1),1,"")</f>
        <v>#REF!</v>
      </c>
      <c r="AG6" s="484" t="s">
        <v>192</v>
      </c>
      <c r="AJ6" s="500" t="s">
        <v>2253</v>
      </c>
      <c r="AK6" s="501" t="s">
        <v>2255</v>
      </c>
      <c r="AL6" s="501"/>
      <c r="AM6" s="327"/>
    </row>
    <row r="7" spans="1:40" ht="17.25">
      <c r="A7" s="49" t="s">
        <v>139</v>
      </c>
      <c r="C7" s="32" t="s">
        <v>39</v>
      </c>
      <c r="D7" s="37" t="s">
        <v>50</v>
      </c>
      <c r="F7" s="82" t="s">
        <v>248</v>
      </c>
      <c r="G7" s="83" t="s">
        <v>265</v>
      </c>
      <c r="H7" s="215">
        <v>1</v>
      </c>
      <c r="I7" s="65" t="s">
        <v>88</v>
      </c>
      <c r="J7" s="115">
        <v>1002</v>
      </c>
      <c r="K7" s="65" t="e">
        <f>IF(AND(MID(#REF!,3,1)="3",MID(#REF!,3,2)&lt;"36"),"AGENCE ELITE","")</f>
        <v>#REF!</v>
      </c>
      <c r="L7" s="117" t="e">
        <f>+IF(AND($D$134=$J$7,$D$137&lt;=21),($D$137+76),IF(AND($D$134=$J$7,$D$137&gt;21),($D$137-21),IF($D$134&lt;&gt;$J$7,"")))</f>
        <v>#VALUE!</v>
      </c>
      <c r="M7" s="64" t="s">
        <v>170</v>
      </c>
      <c r="O7" s="201" t="s">
        <v>261</v>
      </c>
      <c r="P7" s="202" t="s">
        <v>269</v>
      </c>
      <c r="Q7" s="204">
        <v>70217353</v>
      </c>
      <c r="R7" s="138" t="s">
        <v>2243</v>
      </c>
      <c r="S7" s="139" t="s">
        <v>268</v>
      </c>
      <c r="Z7" s="220">
        <f>IF(COUNTIF(F8:F$106,F8)=1,ROW(F4),"")</f>
        <v>4</v>
      </c>
      <c r="AA7" s="219" t="str">
        <f t="shared" si="0"/>
        <v>BF0162</v>
      </c>
      <c r="AD7" s="481" t="s">
        <v>2217</v>
      </c>
      <c r="AE7" s="482" t="e">
        <f>MID(#REF!,2,11)</f>
        <v>#REF!</v>
      </c>
      <c r="AF7" s="496" t="e">
        <f>IF(OR(COUNTIF(#REF!,"*pack salaria p*")=1,COUNTIF(#REF!,"*pack mon*")=1,#REF!="pack fonxionaria",COUNTIF(#REF!,"*BSMS*")=1),1,"")</f>
        <v>#REF!</v>
      </c>
      <c r="AG7" s="485" t="s">
        <v>191</v>
      </c>
      <c r="AJ7" s="213" t="s">
        <v>2257</v>
      </c>
      <c r="AK7" s="212" t="s">
        <v>2259</v>
      </c>
      <c r="AL7" s="212"/>
      <c r="AM7" s="327"/>
    </row>
    <row r="8" spans="1:40" ht="17.25">
      <c r="A8" s="47" t="s">
        <v>145</v>
      </c>
      <c r="C8" s="32" t="s">
        <v>19</v>
      </c>
      <c r="D8" s="37" t="s">
        <v>51</v>
      </c>
      <c r="F8" s="82" t="s">
        <v>258</v>
      </c>
      <c r="G8" s="83" t="s">
        <v>262</v>
      </c>
      <c r="H8" s="215">
        <v>1</v>
      </c>
      <c r="I8" s="65" t="s">
        <v>109</v>
      </c>
      <c r="J8" s="115">
        <v>5001</v>
      </c>
      <c r="K8" s="65" t="e">
        <f>IF(AND(MID(#REF!,3,2)="36",MID(#REF!,3,2)&lt;"40"),"AGENCE DE KOUDOUGOU","")</f>
        <v>#REF!</v>
      </c>
      <c r="L8" s="117" t="e">
        <f>+IF(AND($D$134=$J$8,$D$137&lt;=81),($D$137+16),IF(AND($D$134=$J$8,$D$137&gt;81),($D$137-81),IF($D$134&lt;&gt;$J$8,"")))</f>
        <v>#VALUE!</v>
      </c>
      <c r="M8" s="64" t="s">
        <v>171</v>
      </c>
      <c r="O8" s="201" t="s">
        <v>278</v>
      </c>
      <c r="P8" s="221" t="s">
        <v>285</v>
      </c>
      <c r="Q8" s="222">
        <v>70217117</v>
      </c>
      <c r="R8" s="223" t="s">
        <v>286</v>
      </c>
      <c r="S8" s="224" t="s">
        <v>268</v>
      </c>
      <c r="Z8" s="220" t="str">
        <f>IF(COUNTIF(F9:F$106,F9)=1,ROW(F5),"")</f>
        <v/>
      </c>
      <c r="AA8" s="219" t="str">
        <f t="shared" si="0"/>
        <v>BF0142</v>
      </c>
      <c r="AD8" s="481" t="s">
        <v>2212</v>
      </c>
      <c r="AE8" s="482" t="e">
        <f>#REF!</f>
        <v>#REF!</v>
      </c>
      <c r="AF8" s="494" t="e">
        <f>IF(OR(COUNTIF(#REF!,"*PACK SALARIA*")=1,COUNTIF(#REF!,"*PACK FONXIONARIA*")=1,COUNTIF(#REF!,"*ANCIEN CLIENT PACK*")=1),1,"")</f>
        <v>#REF!</v>
      </c>
      <c r="AG8" s="486" t="s">
        <v>2236</v>
      </c>
      <c r="AJ8" s="213" t="s">
        <v>2258</v>
      </c>
      <c r="AK8" s="212" t="s">
        <v>2260</v>
      </c>
      <c r="AL8" s="212"/>
      <c r="AM8" s="327"/>
    </row>
    <row r="9" spans="1:40" ht="17.25">
      <c r="A9" s="47" t="s">
        <v>146</v>
      </c>
      <c r="C9" s="32" t="s">
        <v>40</v>
      </c>
      <c r="D9" s="37" t="s">
        <v>52</v>
      </c>
      <c r="I9" s="65" t="s">
        <v>110</v>
      </c>
      <c r="J9" s="115">
        <v>17001</v>
      </c>
      <c r="K9" s="65" t="e">
        <f>IF(AND(MID(#REF!,3,1)="5",MID(#REF!,3,2)&lt;"56"),"AGENCE DE KOUPELA","")</f>
        <v>#REF!</v>
      </c>
      <c r="L9" s="117" t="e">
        <f>+IF(AND($D$134=$J$9,$D$137&lt;=84),($D$137+13),IF(AND($D$134=$J$9,$D$137&gt;84),($D$137-84),IF($D$134&lt;&gt;$J$9,"")))</f>
        <v>#VALUE!</v>
      </c>
      <c r="M9" s="64" t="s">
        <v>172</v>
      </c>
      <c r="O9" s="201" t="s">
        <v>279</v>
      </c>
      <c r="P9" s="202" t="s">
        <v>287</v>
      </c>
      <c r="Q9" s="204">
        <v>70217397</v>
      </c>
      <c r="R9" s="138" t="s">
        <v>288</v>
      </c>
      <c r="S9" s="139" t="s">
        <v>215</v>
      </c>
      <c r="Z9" s="220">
        <f>IF(COUNTIF(F10:F$106,F10)=1,ROW(F6),"")</f>
        <v>6</v>
      </c>
      <c r="AA9" s="219" t="str">
        <f t="shared" si="0"/>
        <v>BF0075</v>
      </c>
      <c r="AD9" s="481" t="s">
        <v>2214</v>
      </c>
      <c r="AE9" s="482" t="e">
        <f>#REF!</f>
        <v>#REF!</v>
      </c>
      <c r="AF9" s="483"/>
      <c r="AJ9" s="213" t="s">
        <v>2261</v>
      </c>
      <c r="AK9" s="212" t="s">
        <v>2263</v>
      </c>
      <c r="AL9" s="212"/>
      <c r="AM9" s="327"/>
    </row>
    <row r="10" spans="1:40" ht="17.25">
      <c r="A10" s="47" t="s">
        <v>16</v>
      </c>
      <c r="C10" s="32" t="s">
        <v>41</v>
      </c>
      <c r="D10" s="37" t="s">
        <v>53</v>
      </c>
      <c r="F10" s="311" t="s">
        <v>221</v>
      </c>
      <c r="G10" s="307" t="s">
        <v>278</v>
      </c>
      <c r="H10" s="215">
        <v>2</v>
      </c>
      <c r="I10" s="65" t="s">
        <v>97</v>
      </c>
      <c r="J10" s="115">
        <v>17002</v>
      </c>
      <c r="K10" s="65" t="e">
        <f>IF(AND(MID(#REF!,3,2)&gt;="56",MID(#REF!,3,2)&lt;"60"),"BUREAU DE POUYTENGA","")</f>
        <v>#REF!</v>
      </c>
      <c r="L10" s="117" t="e">
        <f>+IF(AND($D$134=$J$10,$D$137&gt;25),($D$137-25),IF(AND($D$134=$J$10,$D$137&lt;=25),($D$137+72),IF($D$134&lt;&gt;$J$10,"")))</f>
        <v>#VALUE!</v>
      </c>
      <c r="M10" s="64" t="s">
        <v>173</v>
      </c>
      <c r="O10" s="201" t="s">
        <v>289</v>
      </c>
      <c r="P10" s="221" t="s">
        <v>290</v>
      </c>
      <c r="Q10" s="222">
        <v>70217538</v>
      </c>
      <c r="R10" s="223" t="s">
        <v>291</v>
      </c>
      <c r="S10" s="225" t="s">
        <v>268</v>
      </c>
      <c r="Z10" s="220">
        <f>IF(COUNTIF(F11:F$106,F11)=1,ROW(F7),"")</f>
        <v>7</v>
      </c>
      <c r="AA10" s="219" t="str">
        <f t="shared" si="0"/>
        <v>BF0271</v>
      </c>
      <c r="AD10" s="481" t="s">
        <v>2215</v>
      </c>
      <c r="AE10" s="482" t="e">
        <f>IF(#REF!&lt;&gt;"",#REF!,"Néant")</f>
        <v>#REF!</v>
      </c>
      <c r="AF10" s="483"/>
      <c r="AJ10" s="213" t="s">
        <v>2262</v>
      </c>
      <c r="AK10" s="212" t="s">
        <v>2264</v>
      </c>
      <c r="AL10" s="212"/>
      <c r="AM10" s="327"/>
    </row>
    <row r="11" spans="1:40" ht="17.25">
      <c r="A11" s="112"/>
      <c r="C11" s="32" t="s">
        <v>42</v>
      </c>
      <c r="D11" s="37" t="s">
        <v>21</v>
      </c>
      <c r="F11" s="312" t="s">
        <v>222</v>
      </c>
      <c r="G11" s="313" t="s">
        <v>279</v>
      </c>
      <c r="H11" s="215">
        <v>2</v>
      </c>
      <c r="I11" s="65" t="s">
        <v>98</v>
      </c>
      <c r="J11" s="115">
        <v>1005</v>
      </c>
      <c r="K11" s="65" t="e">
        <f>IF(AND(MID(#REF!,3,1)="7",MID(#REF!,3,2)&lt;"76"),"AGENCE ZOGONA","")</f>
        <v>#REF!</v>
      </c>
      <c r="L11" s="117" t="e">
        <f>+IF(AND($D$134=$J$11,$D$137&gt;=39),($D$137-38),IF(AND($D$134=$J$11,$D$137&lt;39),($D$137+59),IF($D$134&lt;&gt;$J$11,"")))</f>
        <v>#VALUE!</v>
      </c>
      <c r="M11" s="64" t="s">
        <v>174</v>
      </c>
      <c r="O11" s="201" t="s">
        <v>270</v>
      </c>
      <c r="P11" s="221" t="s">
        <v>292</v>
      </c>
      <c r="Q11" s="222">
        <v>70217354</v>
      </c>
      <c r="R11" s="223" t="s">
        <v>293</v>
      </c>
      <c r="S11" s="224" t="s">
        <v>215</v>
      </c>
      <c r="U11" s="321" t="s">
        <v>67</v>
      </c>
      <c r="V11" s="322" t="s">
        <v>466</v>
      </c>
      <c r="W11" s="322"/>
      <c r="Z11" s="220">
        <f>IF(COUNTIF(F12:F$106,F12)=1,ROW(F8),"")</f>
        <v>8</v>
      </c>
      <c r="AA11" s="219" t="str">
        <f t="shared" si="0"/>
        <v>BF0121</v>
      </c>
      <c r="AD11" s="481" t="s">
        <v>2216</v>
      </c>
      <c r="AE11" s="482" t="e">
        <f>CONCATENATE(#REF!," du ",#REF!," à ",#REF!)</f>
        <v>#REF!</v>
      </c>
      <c r="AF11" s="483"/>
      <c r="AJ11" s="213" t="s">
        <v>2265</v>
      </c>
      <c r="AK11" s="212"/>
      <c r="AL11" s="212"/>
      <c r="AM11" s="327"/>
    </row>
    <row r="12" spans="1:40" ht="17.25">
      <c r="A12" s="112"/>
      <c r="C12" s="32" t="s">
        <v>43</v>
      </c>
      <c r="D12" s="37" t="s">
        <v>54</v>
      </c>
      <c r="F12" s="314" t="s">
        <v>223</v>
      </c>
      <c r="G12" s="309"/>
      <c r="H12" s="215">
        <v>2</v>
      </c>
      <c r="I12" s="65" t="s">
        <v>104</v>
      </c>
      <c r="J12" s="115">
        <v>1004</v>
      </c>
      <c r="K12" s="65" t="e">
        <f>IF(AND(MID(#REF!,3,1)="6",MID(#REF!,3,3)&lt;"645"),"AGENCE DE GOUNGHIN","")</f>
        <v>#REF!</v>
      </c>
      <c r="L12" s="117" t="e">
        <f>+IF(AND($D$134=$J$12,$D$137=0),(D137+97),IF(AND($D$134=$J$12,$D$137&lt;&gt;0),D137,IF($D$134&lt;&gt;$J$12,"")))</f>
        <v>#VALUE!</v>
      </c>
      <c r="M12" s="64" t="s">
        <v>175</v>
      </c>
      <c r="O12" s="201" t="s">
        <v>294</v>
      </c>
      <c r="P12" s="202" t="s">
        <v>295</v>
      </c>
      <c r="Q12" s="204">
        <v>70217118</v>
      </c>
      <c r="R12" s="138" t="s">
        <v>296</v>
      </c>
      <c r="S12" s="139" t="s">
        <v>268</v>
      </c>
      <c r="U12" s="323" t="s">
        <v>129</v>
      </c>
      <c r="V12" s="329" t="e">
        <f>+C127</f>
        <v>#REF!</v>
      </c>
      <c r="W12" s="330" t="s">
        <v>467</v>
      </c>
      <c r="X12" s="1" t="s">
        <v>481</v>
      </c>
      <c r="Z12" s="220" t="str">
        <f>IF(COUNTIF(F13:F$106,F13)=1,ROW(F9),"")</f>
        <v/>
      </c>
      <c r="AA12" s="219" t="str">
        <f t="shared" si="0"/>
        <v>BF0240</v>
      </c>
      <c r="AD12" s="481" t="s">
        <v>2218</v>
      </c>
      <c r="AE12" s="482" t="str">
        <f>IF(ISERROR(VLOOKUP(#REF!,PARAMETRE!V314:X324,3,0)),"CH",VLOOKUP(#REF!,PARAMETRE!V314:X324,3,0))</f>
        <v>CH</v>
      </c>
      <c r="AF12" s="483"/>
      <c r="AJ12" s="213" t="s">
        <v>2273</v>
      </c>
      <c r="AK12" s="212"/>
      <c r="AL12" s="212"/>
      <c r="AM12" s="327"/>
    </row>
    <row r="13" spans="1:40" ht="17.25">
      <c r="A13" s="107"/>
      <c r="C13" s="32" t="s">
        <v>44</v>
      </c>
      <c r="D13" s="37" t="s">
        <v>2242</v>
      </c>
      <c r="I13" s="65" t="s">
        <v>96</v>
      </c>
      <c r="J13" s="115">
        <v>1011</v>
      </c>
      <c r="K13" s="65" t="e">
        <f>IF(AND(MID(#REF!,3,2)&gt;="64",MID(#REF!,3,2)&lt;"66"),"BUREAU DE PISSY","")</f>
        <v>#REF!</v>
      </c>
      <c r="L13" s="117" t="e">
        <f>+IF(AND($D$134=$J$13,$D$137&gt;72),($D$137-72),IF(AND($D$134=$J$13,$D$137&lt;=72),($D$137+25),IF($D$134&lt;&gt;$J$13,"")))</f>
        <v>#VALUE!</v>
      </c>
      <c r="M13" s="64" t="s">
        <v>176</v>
      </c>
      <c r="O13" s="201" t="s">
        <v>239</v>
      </c>
      <c r="P13" s="221" t="s">
        <v>297</v>
      </c>
      <c r="Q13" s="222">
        <v>70200338</v>
      </c>
      <c r="R13" s="223" t="s">
        <v>298</v>
      </c>
      <c r="S13" s="224" t="s">
        <v>268</v>
      </c>
      <c r="U13" s="319" t="s">
        <v>130</v>
      </c>
      <c r="V13" s="331" t="e">
        <f>+V12</f>
        <v>#REF!</v>
      </c>
      <c r="W13" s="327" t="s">
        <v>467</v>
      </c>
      <c r="X13" s="1" t="s">
        <v>481</v>
      </c>
      <c r="Z13" s="220">
        <f>IF(COUNTIF(F14:F$106,F14)=1,ROW(F10),"")</f>
        <v>10</v>
      </c>
      <c r="AA13" s="219" t="str">
        <f t="shared" si="0"/>
        <v>BF0242</v>
      </c>
      <c r="AD13" s="481" t="s">
        <v>283</v>
      </c>
      <c r="AE13" s="482" t="e">
        <f>#REF!</f>
        <v>#REF!</v>
      </c>
      <c r="AF13" s="483"/>
      <c r="AJ13" s="213"/>
      <c r="AK13" s="212"/>
      <c r="AL13" s="212"/>
      <c r="AM13" s="327"/>
    </row>
    <row r="14" spans="1:40" ht="17.25">
      <c r="A14" s="122" t="s">
        <v>86</v>
      </c>
      <c r="C14" s="32" t="s">
        <v>45</v>
      </c>
      <c r="D14" s="303" t="s">
        <v>196</v>
      </c>
      <c r="F14" s="311" t="s">
        <v>224</v>
      </c>
      <c r="G14" s="307" t="s">
        <v>276</v>
      </c>
      <c r="H14" s="215">
        <v>3</v>
      </c>
      <c r="I14" s="65" t="s">
        <v>99</v>
      </c>
      <c r="J14" s="115">
        <v>1007</v>
      </c>
      <c r="K14" s="65" t="e">
        <f>IF(AND(MID(#REF!,3,2)&gt;="76",MID(#REF!,3,2)&lt;"80"),"AGENCE DE TAMPOUY","")</f>
        <v>#REF!</v>
      </c>
      <c r="L14" s="117" t="e">
        <f>+IF(AND($D$134=$J$14,$D$137&lt;=17),($D$137+80),IF(AND($D$134=$J$14,$D$137&gt;17),($D$137-17),IF($D$134&lt;&gt;$J$14,"")))</f>
        <v>#VALUE!</v>
      </c>
      <c r="M14" s="64" t="s">
        <v>112</v>
      </c>
      <c r="O14" s="201" t="s">
        <v>240</v>
      </c>
      <c r="P14" s="202" t="s">
        <v>390</v>
      </c>
      <c r="Q14" s="204">
        <v>70202618</v>
      </c>
      <c r="R14" s="138" t="s">
        <v>299</v>
      </c>
      <c r="S14" s="139" t="s">
        <v>268</v>
      </c>
      <c r="U14" s="319" t="s">
        <v>133</v>
      </c>
      <c r="V14" s="331" t="e">
        <f>+V12</f>
        <v>#REF!</v>
      </c>
      <c r="W14" s="327" t="s">
        <v>467</v>
      </c>
      <c r="X14" s="1" t="s">
        <v>481</v>
      </c>
      <c r="Z14" s="220">
        <f>IF(COUNTIF(F15:F$106,F15)=1,ROW(F11),"")</f>
        <v>11</v>
      </c>
      <c r="AA14" s="219" t="str">
        <f t="shared" si="0"/>
        <v>BF0111</v>
      </c>
      <c r="AJ14" s="213"/>
      <c r="AK14" s="212"/>
      <c r="AL14" s="212"/>
      <c r="AM14" s="327"/>
    </row>
    <row r="15" spans="1:40" ht="17.25">
      <c r="A15" s="123" t="s">
        <v>76</v>
      </c>
      <c r="C15" s="32" t="s">
        <v>46</v>
      </c>
      <c r="D15" s="304" t="s">
        <v>463</v>
      </c>
      <c r="F15" s="314" t="s">
        <v>225</v>
      </c>
      <c r="G15" s="309" t="s">
        <v>277</v>
      </c>
      <c r="H15" s="215">
        <v>3</v>
      </c>
      <c r="I15" s="65" t="s">
        <v>100</v>
      </c>
      <c r="J15" s="115">
        <v>1009</v>
      </c>
      <c r="K15" s="65" t="e">
        <f>IF(AND(MID(#REF!,3,2)&gt;="86",MID(#REF!,3,2)&lt;"90"),"AGENCE AV FRANCE AFRIQUE","")</f>
        <v>#REF!</v>
      </c>
      <c r="L15" s="117" t="e">
        <f>+IF(AND($D$134=$J$15,D137&lt;94),($D$137+4),IF(AND($D$134=$J$15,D137&gt;94),($D$137-93),IF($D$134&lt;&gt;$J$15,"")))</f>
        <v>#VALUE!</v>
      </c>
      <c r="M15" s="64" t="s">
        <v>177</v>
      </c>
      <c r="O15" s="201" t="s">
        <v>300</v>
      </c>
      <c r="P15" s="221" t="s">
        <v>382</v>
      </c>
      <c r="Q15" s="222">
        <v>70217475</v>
      </c>
      <c r="R15" s="223" t="s">
        <v>301</v>
      </c>
      <c r="S15" s="224" t="s">
        <v>215</v>
      </c>
      <c r="U15" s="319" t="s">
        <v>394</v>
      </c>
      <c r="V15" s="332" t="e">
        <f>+#REF!</f>
        <v>#REF!</v>
      </c>
      <c r="W15" s="327" t="s">
        <v>468</v>
      </c>
      <c r="X15" s="1" t="s">
        <v>485</v>
      </c>
      <c r="Z15" s="220" t="str">
        <f>IF(COUNTIF(F16:F$106,F16)=1,ROW(F12),"")</f>
        <v/>
      </c>
      <c r="AA15" s="219" t="str">
        <f t="shared" si="0"/>
        <v>BF0029</v>
      </c>
      <c r="AJ15" s="213"/>
      <c r="AK15" s="212"/>
      <c r="AL15" s="212"/>
      <c r="AM15" s="327"/>
    </row>
    <row r="16" spans="1:40" ht="15.75">
      <c r="A16" s="124" t="s">
        <v>87</v>
      </c>
      <c r="C16" s="32" t="s">
        <v>194</v>
      </c>
      <c r="D16" s="37" t="s">
        <v>505</v>
      </c>
      <c r="I16" s="65" t="s">
        <v>101</v>
      </c>
      <c r="J16" s="115">
        <v>1006</v>
      </c>
      <c r="K16" s="65" t="e">
        <f>IF(AND(MID(#REF!,3,2)="66",MID(#REF!,3,2)&lt;"70"),"BUREAU DE OUAGA 2000","")</f>
        <v>#REF!</v>
      </c>
      <c r="L16" s="117" t="e">
        <f>+IF(AND($D$134=$J$16,$D$137&lt;=76),($D$137+21),IF(AND($D$134=$J$16,$D$137&gt;76),($D$137-76),IF($D$134&lt;&gt;$J$16,"")))</f>
        <v>#VALUE!</v>
      </c>
      <c r="M16" s="64" t="s">
        <v>178</v>
      </c>
      <c r="O16" s="201" t="s">
        <v>302</v>
      </c>
      <c r="P16" s="202" t="s">
        <v>303</v>
      </c>
      <c r="Q16" s="204">
        <v>70217478</v>
      </c>
      <c r="R16" s="138" t="s">
        <v>304</v>
      </c>
      <c r="S16" s="139" t="s">
        <v>268</v>
      </c>
      <c r="U16" s="319" t="s">
        <v>149</v>
      </c>
      <c r="V16" s="332" t="e">
        <f>+#REF!</f>
        <v>#REF!</v>
      </c>
      <c r="W16" s="327" t="s">
        <v>467</v>
      </c>
      <c r="X16" s="1" t="s">
        <v>482</v>
      </c>
      <c r="Z16" s="220">
        <f>IF(COUNTIF(F17:F$106,F17)=1,ROW(F13),"")</f>
        <v>13</v>
      </c>
      <c r="AA16" s="219" t="str">
        <f t="shared" si="0"/>
        <v>BF0207</v>
      </c>
      <c r="AJ16" s="213"/>
      <c r="AK16" s="212"/>
      <c r="AL16" s="212"/>
      <c r="AM16" s="327"/>
    </row>
    <row r="17" spans="1:39" ht="15.75">
      <c r="A17" s="144" t="s">
        <v>16</v>
      </c>
      <c r="C17" s="32" t="s">
        <v>48</v>
      </c>
      <c r="D17" s="37" t="s">
        <v>2235</v>
      </c>
      <c r="F17" s="311" t="s">
        <v>226</v>
      </c>
      <c r="G17" s="307" t="s">
        <v>300</v>
      </c>
      <c r="H17" s="215">
        <v>4</v>
      </c>
      <c r="I17" s="65" t="s">
        <v>105</v>
      </c>
      <c r="J17" s="115">
        <v>9001</v>
      </c>
      <c r="K17" s="65" t="e">
        <f>IF(AND(MID(#REF!,3,1)="8",MID(#REF!,3,2)&lt;"86"),"AGENCE DE FADA N'GOURMA","")</f>
        <v>#REF!</v>
      </c>
      <c r="L17" s="117" t="e">
        <f>+IF(AND($D$134=$J$17,$D$137&lt;=82),($D$137+15),IF(AND($D$134=$J$17,$D$137&gt;82),($D$137-82),IF($D$134&lt;&gt;$J$17,"")))</f>
        <v>#VALUE!</v>
      </c>
      <c r="M17" s="64" t="s">
        <v>179</v>
      </c>
      <c r="O17" s="201" t="s">
        <v>305</v>
      </c>
      <c r="P17" s="202" t="s">
        <v>306</v>
      </c>
      <c r="Q17" s="204">
        <v>70217477</v>
      </c>
      <c r="R17" s="138" t="s">
        <v>307</v>
      </c>
      <c r="S17" s="139" t="s">
        <v>268</v>
      </c>
      <c r="U17" s="320" t="s">
        <v>135</v>
      </c>
      <c r="V17" s="332" t="e">
        <f>+V16</f>
        <v>#REF!</v>
      </c>
      <c r="W17" s="327" t="s">
        <v>467</v>
      </c>
      <c r="X17" s="1" t="s">
        <v>483</v>
      </c>
      <c r="Z17" s="220">
        <f>IF(COUNTIF(F18:F$106,F18)=1,ROW(F14),"")</f>
        <v>14</v>
      </c>
      <c r="AA17" s="219" t="str">
        <f t="shared" si="0"/>
        <v>BF0206</v>
      </c>
      <c r="AJ17" s="213"/>
      <c r="AK17" s="212"/>
      <c r="AL17" s="212"/>
      <c r="AM17" s="327"/>
    </row>
    <row r="18" spans="1:39" ht="15.75">
      <c r="A18" s="128"/>
      <c r="C18" s="32" t="s">
        <v>47</v>
      </c>
      <c r="D18" s="37" t="s">
        <v>2241</v>
      </c>
      <c r="F18" s="312" t="s">
        <v>1389</v>
      </c>
      <c r="G18" s="313" t="s">
        <v>302</v>
      </c>
      <c r="H18" s="215">
        <v>4</v>
      </c>
      <c r="I18" s="65" t="s">
        <v>106</v>
      </c>
      <c r="J18" s="115">
        <v>4001</v>
      </c>
      <c r="K18" s="65" t="e">
        <f>IF(AND(MID(#REF!,3,2)&gt;="27",MID(#REF!,3,2)&lt;"29"),"AGENCE DE DEDOUGOU","")</f>
        <v>#REF!</v>
      </c>
      <c r="L18" s="117" t="e">
        <f>+IF(AND($D$134=$J$18,$D$137&lt;=8),($D$137+89),IF(AND($D$134=$J$18,$D$137&gt;8),($D$137-8),IF($D$134&lt;&gt;$J$18,"")))</f>
        <v>#VALUE!</v>
      </c>
      <c r="M18" s="64" t="s">
        <v>180</v>
      </c>
      <c r="O18" s="201" t="s">
        <v>308</v>
      </c>
      <c r="P18" s="221" t="s">
        <v>309</v>
      </c>
      <c r="Q18" s="222">
        <v>70217107</v>
      </c>
      <c r="R18" s="223" t="s">
        <v>310</v>
      </c>
      <c r="S18" s="224" t="s">
        <v>215</v>
      </c>
      <c r="U18" s="319" t="s">
        <v>136</v>
      </c>
      <c r="V18" s="332" t="e">
        <f>+V16</f>
        <v>#REF!</v>
      </c>
      <c r="W18" s="327" t="s">
        <v>467</v>
      </c>
      <c r="X18" s="1" t="s">
        <v>483</v>
      </c>
      <c r="Z18" s="220">
        <f>IF(COUNTIF(F19:F$106,F19)=1,ROW(F15),"")</f>
        <v>15</v>
      </c>
      <c r="AA18" s="219" t="str">
        <f t="shared" si="0"/>
        <v>BFINT1</v>
      </c>
      <c r="AJ18" s="213"/>
      <c r="AK18" s="212"/>
      <c r="AL18" s="212"/>
      <c r="AM18" s="327"/>
    </row>
    <row r="19" spans="1:39" ht="15.75">
      <c r="A19" s="60"/>
      <c r="C19" s="32" t="s">
        <v>1388</v>
      </c>
      <c r="D19" s="37" t="s">
        <v>55</v>
      </c>
      <c r="F19" s="314" t="s">
        <v>227</v>
      </c>
      <c r="G19" s="309" t="s">
        <v>275</v>
      </c>
      <c r="H19" s="215">
        <v>4</v>
      </c>
      <c r="I19" s="65" t="s">
        <v>107</v>
      </c>
      <c r="J19" s="115">
        <v>16017</v>
      </c>
      <c r="K19" s="65" t="e">
        <f>IF(AND(MID(#REF!,3,2)&gt;="95",MID(#REF!,3,3)&lt;"975"),"BUREAU DE GAOUA","")</f>
        <v>#REF!</v>
      </c>
      <c r="L19" s="117" t="e">
        <f>+IF(AND($D$134=$J$19,$D$137&lt;=37),($D$137+60),IF(AND($D$134=$J$19,$D$137&gt;37),($D$137-37),IF($D$134&lt;&gt;$J$19,"")))</f>
        <v>#VALUE!</v>
      </c>
      <c r="M19" s="64" t="s">
        <v>181</v>
      </c>
      <c r="O19" s="201" t="s">
        <v>255</v>
      </c>
      <c r="P19" s="221" t="s">
        <v>311</v>
      </c>
      <c r="Q19" s="222">
        <v>70200329</v>
      </c>
      <c r="R19" s="223" t="s">
        <v>312</v>
      </c>
      <c r="S19" s="224" t="s">
        <v>268</v>
      </c>
      <c r="U19" s="326" t="s">
        <v>456</v>
      </c>
      <c r="V19" s="332" t="e">
        <f>+V16</f>
        <v>#REF!</v>
      </c>
      <c r="W19" s="327" t="s">
        <v>467</v>
      </c>
      <c r="X19" s="1" t="s">
        <v>481</v>
      </c>
      <c r="Z19" s="220" t="str">
        <f>IF(COUNTIF(F20:F$106,F20)=1,ROW(F16),"")</f>
        <v/>
      </c>
      <c r="AA19" s="219" t="str">
        <f t="shared" si="0"/>
        <v>BF0020</v>
      </c>
      <c r="AE19" s="1" t="s">
        <v>2219</v>
      </c>
      <c r="AJ19" s="213"/>
      <c r="AK19" s="212"/>
      <c r="AL19" s="212"/>
      <c r="AM19" s="327"/>
    </row>
    <row r="20" spans="1:39" ht="15.75">
      <c r="I20" s="65" t="s">
        <v>1383</v>
      </c>
      <c r="J20" s="115">
        <v>1012</v>
      </c>
      <c r="K20" s="65" t="e">
        <f>IF(MID(#REF!,3,3)&gt;="975","AGENCE DE NEMNIN","")</f>
        <v>#REF!</v>
      </c>
      <c r="L20" s="117" t="e">
        <f>+IF(AND($D$134=$J$20,$D$137&lt;=8),($D$137+84),IF(AND($D$134=$J$20,$D$137&gt;8),($D$137-13),IF($D$134&lt;&gt;$J$20,"")))</f>
        <v>#VALUE!</v>
      </c>
      <c r="M20" s="64" t="s">
        <v>182</v>
      </c>
      <c r="O20" s="201" t="s">
        <v>257</v>
      </c>
      <c r="P20" s="202" t="s">
        <v>313</v>
      </c>
      <c r="Q20" s="204">
        <v>70202622</v>
      </c>
      <c r="R20" s="138" t="s">
        <v>314</v>
      </c>
      <c r="S20" s="139" t="s">
        <v>215</v>
      </c>
      <c r="U20" s="319" t="s">
        <v>454</v>
      </c>
      <c r="V20" s="212"/>
      <c r="W20" s="327" t="e">
        <f>+CONCATENATE("N°"," ",#REF!)</f>
        <v>#REF!</v>
      </c>
      <c r="X20" s="1" t="s">
        <v>484</v>
      </c>
      <c r="Z20" s="220">
        <f>IF(COUNTIF(F21:F$106,F21)=1,ROW(F17),"")</f>
        <v>17</v>
      </c>
      <c r="AA20" s="219" t="str">
        <f t="shared" si="0"/>
        <v>BF0273</v>
      </c>
      <c r="AE20" s="1" t="s">
        <v>2220</v>
      </c>
      <c r="AJ20" s="213"/>
      <c r="AK20" s="212"/>
      <c r="AL20" s="212"/>
      <c r="AM20" s="327"/>
    </row>
    <row r="21" spans="1:39" ht="15.75">
      <c r="A21" s="226" t="s">
        <v>167</v>
      </c>
      <c r="F21" s="311" t="s">
        <v>228</v>
      </c>
      <c r="G21" s="307" t="s">
        <v>239</v>
      </c>
      <c r="H21" s="215">
        <v>5</v>
      </c>
      <c r="I21" s="65" t="s">
        <v>92</v>
      </c>
      <c r="J21" s="115">
        <v>2002</v>
      </c>
      <c r="K21" s="65" t="e">
        <f>IF(AND(MID(#REF!,3,2)="26",MID(#REF!,3,3)&lt;"275"),"AGENCE BOBO BOULEVARD","")</f>
        <v>#REF!</v>
      </c>
      <c r="L21" s="117" t="e">
        <f>+IF(AND($D$134=$J$21,$D$137&lt;=94),($D$137+3),IF(AND($D$134=$J$21,$D$137&gt;94),($D$137-94),IF($D$134&lt;&gt;$J$21,"")))</f>
        <v>#VALUE!</v>
      </c>
      <c r="M21" s="64" t="s">
        <v>183</v>
      </c>
      <c r="O21" s="205" t="s">
        <v>323</v>
      </c>
      <c r="P21" s="206" t="s">
        <v>324</v>
      </c>
      <c r="Q21" s="207">
        <v>70217463</v>
      </c>
      <c r="R21" s="227" t="s">
        <v>325</v>
      </c>
      <c r="S21" s="208" t="s">
        <v>215</v>
      </c>
      <c r="U21" s="319" t="s">
        <v>455</v>
      </c>
      <c r="V21" s="212"/>
      <c r="W21" s="327" t="e">
        <f>+W20</f>
        <v>#REF!</v>
      </c>
      <c r="X21" s="1" t="s">
        <v>482</v>
      </c>
      <c r="Z21" s="220">
        <f>IF(COUNTIF(F22:F$106,F22)=1,ROW(F18),"")</f>
        <v>18</v>
      </c>
      <c r="AA21" s="219" t="str">
        <f t="shared" si="0"/>
        <v>BF0168</v>
      </c>
      <c r="AE21" s="1" t="s">
        <v>2221</v>
      </c>
      <c r="AJ21" s="213"/>
      <c r="AK21" s="212"/>
      <c r="AL21" s="212"/>
      <c r="AM21" s="327"/>
    </row>
    <row r="22" spans="1:39" ht="15.75">
      <c r="A22" s="228" t="e">
        <f>+IF(OR(LEFT(#REF!,1)="A",LEFT(#REF!,1)="E",LEFT(#REF!,1)="U",LEFT(#REF!,1)="I",LEFT(#REF!,1)="O"),CONCATENATE("D'"," ",#REF!),CONCATENATE("DE"," ",#REF!))</f>
        <v>#REF!</v>
      </c>
      <c r="F22" s="312" t="s">
        <v>229</v>
      </c>
      <c r="G22" s="313" t="s">
        <v>240</v>
      </c>
      <c r="H22" s="215">
        <v>5</v>
      </c>
      <c r="I22" s="65" t="s">
        <v>93</v>
      </c>
      <c r="J22" s="115">
        <v>2003</v>
      </c>
      <c r="K22" s="65" t="e">
        <f>IF(AND(MID(#REF!,3,2)="29",MID(#REF!,3,2)&lt;"30"),"BUREAU BOBO GRAND MARCHE","")</f>
        <v>#REF!</v>
      </c>
      <c r="L22" s="117" t="e">
        <f>+IF(AND($D$134=$J$22,$D$137&lt;=35),($D$137+62),IF(AND($D$134=$J$22,$D$137&gt;35),($D$137-35),IF($D$134&lt;&gt;$J$22,"")))</f>
        <v>#VALUE!</v>
      </c>
      <c r="M22" s="64" t="s">
        <v>184</v>
      </c>
      <c r="O22" s="205" t="s">
        <v>322</v>
      </c>
      <c r="P22" s="206" t="s">
        <v>383</v>
      </c>
      <c r="Q22" s="207">
        <v>70219595</v>
      </c>
      <c r="R22" s="227" t="s">
        <v>326</v>
      </c>
      <c r="S22" s="208" t="s">
        <v>215</v>
      </c>
      <c r="U22" s="319" t="s">
        <v>132</v>
      </c>
      <c r="V22" s="212"/>
      <c r="W22" s="327" t="s">
        <v>467</v>
      </c>
      <c r="X22" s="1" t="s">
        <v>484</v>
      </c>
      <c r="Z22" s="220">
        <f>IF(COUNTIF(F23:F$106,F23)=1,ROW(F19),"")</f>
        <v>19</v>
      </c>
      <c r="AA22" s="219" t="str">
        <f t="shared" si="0"/>
        <v>BF0010</v>
      </c>
      <c r="AE22" s="1" t="s">
        <v>2222</v>
      </c>
      <c r="AJ22" s="213"/>
      <c r="AK22" s="212"/>
      <c r="AL22" s="212"/>
      <c r="AM22" s="327"/>
    </row>
    <row r="23" spans="1:39" ht="15.75">
      <c r="A23" s="228" t="e">
        <f>+IF(LEN(#REF!)&lt;1,CONCATENATE("J'ai l'honneur de vous demander de bien vouloir, à compter de "," ",PARAMETRE!D142),CONCATENATE("J'ai l'honneur de vous demander de bien vouloir, à compter de "," ",TEXT(#REF!,"mmmm AA")))</f>
        <v>#REF!</v>
      </c>
      <c r="F23" s="314" t="s">
        <v>230</v>
      </c>
      <c r="G23" s="309" t="s">
        <v>240</v>
      </c>
      <c r="H23" s="215">
        <v>5</v>
      </c>
      <c r="I23" s="66" t="s">
        <v>102</v>
      </c>
      <c r="J23" s="116">
        <v>1008</v>
      </c>
      <c r="K23" s="66" t="e">
        <f>IF(AND(MID(#REF!,3,3)&gt;="460",MID(#REF!,3,3)&lt;"461"),"BUREAU DE L'UEMOA","")</f>
        <v>#REF!</v>
      </c>
      <c r="L23" s="117" t="e">
        <f>+IF(AND($D$134=$J$23,$D$137&lt;=55),($D$137+42),IF(AND($D$134=$J$23,$D$137&gt;55),($D$137-55),IF($D$134&lt;&gt;$J$23,"")))</f>
        <v>#VALUE!</v>
      </c>
      <c r="M23" s="64" t="s">
        <v>185</v>
      </c>
      <c r="O23" s="229" t="s">
        <v>327</v>
      </c>
      <c r="P23" s="230" t="s">
        <v>384</v>
      </c>
      <c r="Q23" s="231">
        <v>70217596</v>
      </c>
      <c r="R23" s="227" t="s">
        <v>330</v>
      </c>
      <c r="S23" s="225" t="s">
        <v>215</v>
      </c>
      <c r="U23" s="319" t="s">
        <v>131</v>
      </c>
      <c r="V23" s="212"/>
      <c r="W23" s="327" t="s">
        <v>467</v>
      </c>
      <c r="X23" s="1" t="s">
        <v>484</v>
      </c>
      <c r="Z23" s="220" t="str">
        <f>IF(COUNTIF(F24:F$106,F24)=1,ROW(F20),"")</f>
        <v/>
      </c>
      <c r="AA23" s="219" t="str">
        <f t="shared" si="0"/>
        <v>BF0079</v>
      </c>
      <c r="AE23" s="1" t="s">
        <v>2076</v>
      </c>
      <c r="AJ23" s="213"/>
      <c r="AK23" s="212"/>
      <c r="AL23" s="212"/>
      <c r="AM23" s="327"/>
    </row>
    <row r="24" spans="1:39" ht="17.25">
      <c r="A24" s="232"/>
      <c r="C24" s="130" t="s">
        <v>35</v>
      </c>
      <c r="D24" s="131" t="s">
        <v>161</v>
      </c>
      <c r="I24" s="65" t="s">
        <v>103</v>
      </c>
      <c r="J24" s="115">
        <v>1003</v>
      </c>
      <c r="K24" s="65" t="e">
        <f>IF(AND(MID(#REF!,3,1)="4",MID(#REF!,3,2)&lt;"46"),"AGENCE KWAME N'KRUMAH","")</f>
        <v>#REF!</v>
      </c>
      <c r="L24" s="117" t="e">
        <f>+IF(AND($D$134=$J$24,$D$137&gt;=60),($D$137-59),IF(AND($D$134=$J$24,$D$137&lt;60),($D$137+38),IF($D$134&lt;&gt;$J$24,"")))</f>
        <v>#VALUE!</v>
      </c>
      <c r="M24" s="64" t="s">
        <v>186</v>
      </c>
      <c r="O24" s="229" t="s">
        <v>328</v>
      </c>
      <c r="P24" s="230" t="s">
        <v>385</v>
      </c>
      <c r="Q24" s="231">
        <v>70202621</v>
      </c>
      <c r="R24" s="227" t="s">
        <v>331</v>
      </c>
      <c r="S24" s="225" t="s">
        <v>215</v>
      </c>
      <c r="U24" s="319" t="s">
        <v>148</v>
      </c>
      <c r="V24" s="212"/>
      <c r="W24" s="327" t="s">
        <v>467</v>
      </c>
      <c r="X24" s="1" t="s">
        <v>484</v>
      </c>
      <c r="Z24" s="220">
        <f>IF(COUNTIF(F25:F$106,F25)=1,ROW(F21),"")</f>
        <v>21</v>
      </c>
      <c r="AA24" s="219" t="str">
        <f t="shared" si="0"/>
        <v>BF0107</v>
      </c>
      <c r="AE24" s="1" t="s">
        <v>2244</v>
      </c>
      <c r="AJ24" s="213"/>
      <c r="AK24" s="212"/>
      <c r="AL24" s="212"/>
      <c r="AM24" s="327"/>
    </row>
    <row r="25" spans="1:39" ht="15.75">
      <c r="C25" s="26" t="s">
        <v>14</v>
      </c>
      <c r="D25" s="27" t="s">
        <v>115</v>
      </c>
      <c r="F25" s="311" t="s">
        <v>232</v>
      </c>
      <c r="G25" s="307" t="s">
        <v>270</v>
      </c>
      <c r="H25" s="215">
        <v>6</v>
      </c>
      <c r="I25" s="71" t="s">
        <v>94</v>
      </c>
      <c r="J25" s="115">
        <v>1013</v>
      </c>
      <c r="K25" s="71" t="e">
        <f>IF(AND(MID(#REF!,3,3)="461",MID(#REF!,3,2)&lt;"47"),"AGENCE ZONE I","")</f>
        <v>#REF!</v>
      </c>
      <c r="L25" s="117" t="e">
        <f>+IF(AND($D$134=$J$25,$D$137&lt;=47),($D$137+46),IF(AND($D$134=$J$25,$D$137&gt;47),($D$137-51),IF($D$134&lt;&gt;$J$25,"")))</f>
        <v>#VALUE!</v>
      </c>
      <c r="M25" s="64" t="s">
        <v>187</v>
      </c>
      <c r="O25" s="205" t="s">
        <v>337</v>
      </c>
      <c r="P25" s="230" t="s">
        <v>386</v>
      </c>
      <c r="Q25" s="207">
        <v>70217052</v>
      </c>
      <c r="R25" s="227" t="s">
        <v>338</v>
      </c>
      <c r="S25" s="225" t="s">
        <v>215</v>
      </c>
      <c r="U25" s="319" t="s">
        <v>78</v>
      </c>
      <c r="V25" s="212"/>
      <c r="W25" s="327" t="s">
        <v>486</v>
      </c>
      <c r="X25" s="1" t="s">
        <v>484</v>
      </c>
      <c r="Z25" s="220">
        <f>IF(COUNTIF(F26:F$106,F26)=1,ROW(F22),"")</f>
        <v>22</v>
      </c>
      <c r="AA25" s="219" t="str">
        <f t="shared" si="0"/>
        <v>BF0154</v>
      </c>
      <c r="AE25" s="1" t="s">
        <v>2266</v>
      </c>
      <c r="AJ25" s="213"/>
      <c r="AK25" s="212"/>
      <c r="AL25" s="212"/>
      <c r="AM25" s="327"/>
    </row>
    <row r="26" spans="1:39" ht="15.75">
      <c r="C26" s="26" t="s">
        <v>22</v>
      </c>
      <c r="D26" s="27" t="s">
        <v>189</v>
      </c>
      <c r="F26" s="312" t="s">
        <v>233</v>
      </c>
      <c r="G26" s="313" t="s">
        <v>271</v>
      </c>
      <c r="H26" s="215">
        <v>6</v>
      </c>
      <c r="I26" s="71" t="s">
        <v>95</v>
      </c>
      <c r="J26" s="67" t="s">
        <v>111</v>
      </c>
      <c r="K26" s="71" t="e">
        <f>IF(AND(MID(#REF!,3,1)="9",MID(#REF!,3,2)&lt;"95"),"BUREAU DE ESSAKANE","")</f>
        <v>#REF!</v>
      </c>
      <c r="L26" s="117" t="e">
        <f>+IF(AND($D$134=$J$26,$D$137&lt;=90),($D$137+7),IF(AND($D$134=$J$26,$D$137&gt;90),($D$137-90),IF($D$134&lt;&gt;$J$26,"")))</f>
        <v>#VALUE!</v>
      </c>
      <c r="M26" s="64" t="s">
        <v>188</v>
      </c>
      <c r="O26" s="229" t="s">
        <v>391</v>
      </c>
      <c r="P26" s="230" t="s">
        <v>387</v>
      </c>
      <c r="Q26" s="231">
        <v>70217539</v>
      </c>
      <c r="R26" s="227" t="s">
        <v>346</v>
      </c>
      <c r="S26" s="225" t="s">
        <v>215</v>
      </c>
      <c r="U26" s="319" t="s">
        <v>134</v>
      </c>
      <c r="V26" s="212"/>
      <c r="W26" s="327" t="s">
        <v>487</v>
      </c>
      <c r="X26" s="1" t="s">
        <v>481</v>
      </c>
      <c r="Z26" s="220">
        <f>IF(COUNTIF(F27:F$106,F27)=1,ROW(F23),"")</f>
        <v>23</v>
      </c>
      <c r="AA26" s="219" t="str">
        <f t="shared" si="0"/>
        <v>BF0251</v>
      </c>
      <c r="AE26" s="1" t="s">
        <v>2274</v>
      </c>
      <c r="AJ26" s="213"/>
      <c r="AK26" s="212"/>
      <c r="AL26" s="212"/>
      <c r="AM26" s="327"/>
    </row>
    <row r="27" spans="1:39" ht="16.5" thickBot="1">
      <c r="C27" s="26" t="s">
        <v>36</v>
      </c>
      <c r="D27" s="27" t="s">
        <v>190</v>
      </c>
      <c r="F27" s="314" t="s">
        <v>234</v>
      </c>
      <c r="G27" s="309" t="s">
        <v>272</v>
      </c>
      <c r="H27" s="215">
        <v>6</v>
      </c>
      <c r="I27" s="71"/>
      <c r="J27" s="67"/>
      <c r="K27" s="71"/>
      <c r="L27" s="117"/>
      <c r="M27" s="147"/>
      <c r="O27" s="229" t="s">
        <v>342</v>
      </c>
      <c r="P27" s="230" t="s">
        <v>388</v>
      </c>
      <c r="Q27" s="231">
        <v>70217667</v>
      </c>
      <c r="R27" s="227" t="s">
        <v>343</v>
      </c>
      <c r="S27" s="225" t="s">
        <v>215</v>
      </c>
      <c r="U27" s="325" t="s">
        <v>114</v>
      </c>
      <c r="V27" s="212"/>
      <c r="W27" s="327" t="s">
        <v>467</v>
      </c>
      <c r="X27" s="1" t="s">
        <v>484</v>
      </c>
      <c r="Z27" s="220" t="str">
        <f>IF(COUNTIF(F28:F$106,F28)=1,ROW(F24),"")</f>
        <v/>
      </c>
      <c r="AA27" s="219" t="str">
        <f t="shared" si="0"/>
        <v>BF0178</v>
      </c>
      <c r="AJ27" s="213"/>
      <c r="AK27" s="212"/>
      <c r="AL27" s="212"/>
      <c r="AM27" s="327"/>
    </row>
    <row r="28" spans="1:39" ht="16.5" thickBot="1">
      <c r="A28" s="363" t="s">
        <v>1271</v>
      </c>
      <c r="C28" s="28" t="s">
        <v>37</v>
      </c>
      <c r="D28" s="74" t="s">
        <v>16</v>
      </c>
      <c r="F28" s="244"/>
      <c r="G28" s="244"/>
      <c r="I28" s="71"/>
      <c r="J28" s="67"/>
      <c r="K28" s="71"/>
      <c r="L28" s="117"/>
      <c r="M28" s="147"/>
      <c r="O28" s="229" t="s">
        <v>352</v>
      </c>
      <c r="P28" s="230" t="s">
        <v>389</v>
      </c>
      <c r="Q28" s="231">
        <v>70202623</v>
      </c>
      <c r="R28" s="227" t="s">
        <v>355</v>
      </c>
      <c r="S28" s="225" t="s">
        <v>268</v>
      </c>
      <c r="U28" s="319" t="s">
        <v>11</v>
      </c>
      <c r="V28" s="212"/>
      <c r="W28" s="327" t="s">
        <v>488</v>
      </c>
      <c r="X28" s="1" t="s">
        <v>485</v>
      </c>
      <c r="Z28" s="220" t="str">
        <f>IF(COUNTIF(F29:F$106,F29)=1,ROW(F25),"")</f>
        <v/>
      </c>
      <c r="AA28" s="219">
        <f t="shared" si="0"/>
        <v>0</v>
      </c>
      <c r="AJ28" s="213"/>
      <c r="AK28" s="212"/>
      <c r="AL28" s="212"/>
      <c r="AM28" s="327"/>
    </row>
    <row r="29" spans="1:39" ht="15.75">
      <c r="A29" s="365" t="e">
        <f>+IF(OR(#REF!="CNI",#REF!="PASSPORT"),"COPIE ACTE DE NAISSANCE, COPIE FACTURE",IF(OR(#REF!="CARTE SEJOUR",#REF!="CARTE CONSULAIRE"),"COPIE FACTURE",IF(OR(#REF!="CNI+FACTURE",#REF!="PASSPORT+FACTURE"),"COPIE ACTE DE NAISSANCE",IF(OR(#REF!="PASSPORT+ACTE DE NAISSANCE",#REF!="CNI+ACTE DE NAISSANCE"),"COPIE FACTURE",IF(#REF!="ATTESTATION D'IDENTITE","COPIE FACTURE",IF(#REF!="CARTE CONSULAIRE+FACTURE","",""))))))</f>
        <v>#REF!</v>
      </c>
      <c r="F29" s="311" t="s">
        <v>235</v>
      </c>
      <c r="G29" s="307" t="s">
        <v>242</v>
      </c>
      <c r="H29" s="215">
        <v>7</v>
      </c>
      <c r="I29" s="71"/>
      <c r="J29" s="67"/>
      <c r="K29" s="71"/>
      <c r="L29" s="117"/>
      <c r="M29" s="147"/>
      <c r="O29" s="229" t="s">
        <v>356</v>
      </c>
      <c r="P29" s="230" t="s">
        <v>357</v>
      </c>
      <c r="Q29" s="231">
        <v>70217290</v>
      </c>
      <c r="R29" s="227" t="s">
        <v>358</v>
      </c>
      <c r="S29" s="225" t="s">
        <v>268</v>
      </c>
      <c r="U29" s="324" t="s">
        <v>214</v>
      </c>
      <c r="V29" s="212"/>
      <c r="W29" s="327" t="s">
        <v>488</v>
      </c>
      <c r="X29" s="1" t="s">
        <v>485</v>
      </c>
      <c r="Z29" s="220">
        <f>IF(COUNTIF(F30:F$106,F30)=1,ROW(F26),"")</f>
        <v>26</v>
      </c>
      <c r="AA29" s="219" t="str">
        <f t="shared" si="0"/>
        <v>BF0252</v>
      </c>
      <c r="AJ29" s="213"/>
      <c r="AK29" s="212"/>
      <c r="AL29" s="212"/>
      <c r="AM29" s="327"/>
    </row>
    <row r="30" spans="1:39" ht="16.5" thickBot="1">
      <c r="A30" s="366" t="e">
        <f>+IF(#REF!="PACK SALARIA PUBLIQUE",1,IF(#REF!="PACK SALARIA PRIVE",2,IF(#REF!="COMPTE VIREMENT DE SALAIRE PUBLIQUE",3,IF(#REF!="COMPTE VIREMENT DE SALAIRE PRIVE",4,IF(#REF!="COMPTE CHEQUE PARTICULIERS",5,IF(#REF!="COMPTE EPARGNE",6,IF(#REF!="PACK FONXIONARIA",7,IF(#REF!="COMPTE JOINT",8,IF(#REF!="PACK MON BUSINESS",9,IF(#REF!="COMPTE RETRAITE",10,IF(#REF!="ANCIENS CLIENTS",11,IF(#REF!="ANCIEN CLIENT PACK FONXIONARIA",12,IF(#REF!="ANCIEN CLIENT PACK SALARIA",13,IF(#REF!="SOLDE",14,IF(#REF!="DEMANDE DE CARTE SESAME",15,IF(#REF!="PEA",16,IF(#REF!="CONTRAT BSMS",17,IF(#REF!="COMPTE EPARGNE MINEUR",18,IF(#REF!="COMPTE AVEC PROCURATION",19,IF(#REF!="PROCURATION SUR ANCIEN COMPTE",20,IF(#REF!="SND",21,IF(#REF!="SND 2 COMPTES CH-CL",22,""))))))))))))))))))))))</f>
        <v>#REF!</v>
      </c>
      <c r="D30" s="27" t="s">
        <v>115</v>
      </c>
      <c r="F30" s="312" t="s">
        <v>236</v>
      </c>
      <c r="G30" s="313" t="s">
        <v>243</v>
      </c>
      <c r="H30" s="215">
        <v>7</v>
      </c>
      <c r="I30" s="72"/>
      <c r="J30" s="73"/>
      <c r="K30" s="72"/>
      <c r="L30" s="117"/>
      <c r="M30" s="147"/>
      <c r="O30" s="229" t="s">
        <v>361</v>
      </c>
      <c r="P30" s="230" t="s">
        <v>362</v>
      </c>
      <c r="Q30" s="231">
        <v>70212270</v>
      </c>
      <c r="R30" s="227" t="s">
        <v>363</v>
      </c>
      <c r="S30" s="225" t="s">
        <v>215</v>
      </c>
      <c r="U30" s="319" t="s">
        <v>2150</v>
      </c>
      <c r="V30" s="212"/>
      <c r="W30" s="327" t="s">
        <v>467</v>
      </c>
      <c r="X30" s="1" t="s">
        <v>484</v>
      </c>
      <c r="Z30" s="220">
        <f>IF(COUNTIF(F31:F$106,F31)=1,ROW(F27),"")</f>
        <v>27</v>
      </c>
      <c r="AA30" s="219" t="str">
        <f t="shared" si="0"/>
        <v>BF0170</v>
      </c>
      <c r="AJ30" s="213"/>
      <c r="AK30" s="212"/>
      <c r="AL30" s="212"/>
      <c r="AM30" s="327"/>
    </row>
    <row r="31" spans="1:39" ht="15.75">
      <c r="A31" s="367" t="e">
        <f>+UPPER(IF(AND(#REF!&lt;&gt;"COMPTE EPARGNE",#REF!&lt;&gt;"PACK MON BUSINESS",#REF!&lt;&gt;"COMPTE CHEQUE PARTICULIERS",#REF!&lt;&gt;"COMPTE EPARGNE MINEUR",#REF!&lt;&gt;"COMPTE AVEC PROCURATION",#REF!&lt;&gt;"PROCURATION SUR ANCIEN COMPTE")*AND(#REF!="2 photos"),"BULLETIN/CONTRAT",IF(OR(#REF!&lt;&gt;"COMPTE EPARGNE",#REF!&lt;&gt;"PACK MON BUSINESS",#REF!&lt;&gt;"COMPTE CHEQUE PARTICULIERS")*AND(#REF!="BULLETIN/CONTRAT"),"2 PHOTOS",IF(AND(OR(#REF!="COMPTE EPARGNE",#REF!="PACK MON BUSINESS",#REF!="COMPTE CHEQUE PARTICULIERS"),AND(#REF!="NEANT")),"2 PHOTOS",IF(AND(#REF!&lt;&gt;"COMPTE EPARGNE",#REF!&lt;&gt;"PACK MON BUSINESS",#REF!&lt;&gt;"COMPTE CHEQUE PARTICULIERS")*AND(#REF!="NEANT"),"2 PHOTOS+BULLETIN/CONTRAT","")))))</f>
        <v>#REF!</v>
      </c>
      <c r="D31" s="74" t="s">
        <v>16</v>
      </c>
      <c r="F31" s="312" t="s">
        <v>237</v>
      </c>
      <c r="G31" s="313" t="s">
        <v>244</v>
      </c>
      <c r="H31" s="215">
        <v>7</v>
      </c>
      <c r="O31" s="229" t="s">
        <v>367</v>
      </c>
      <c r="P31" s="230" t="s">
        <v>369</v>
      </c>
      <c r="Q31" s="231">
        <v>70202680</v>
      </c>
      <c r="R31" s="227" t="s">
        <v>368</v>
      </c>
      <c r="S31" s="225" t="s">
        <v>215</v>
      </c>
      <c r="U31" s="319" t="s">
        <v>2167</v>
      </c>
      <c r="V31" s="212"/>
      <c r="W31" s="327" t="s">
        <v>467</v>
      </c>
      <c r="X31" s="1" t="s">
        <v>484</v>
      </c>
      <c r="Z31" s="220">
        <f>IF(COUNTIF(F32:F$106,F32)=1,ROW(F28),"")</f>
        <v>28</v>
      </c>
      <c r="AA31" s="219" t="str">
        <f t="shared" si="0"/>
        <v>BF0083</v>
      </c>
      <c r="AJ31" s="213"/>
      <c r="AK31" s="212"/>
      <c r="AL31" s="212"/>
      <c r="AM31" s="327"/>
    </row>
    <row r="32" spans="1:39" ht="16.5" thickBot="1">
      <c r="F32" s="314" t="s">
        <v>238</v>
      </c>
      <c r="G32" s="309" t="s">
        <v>245</v>
      </c>
      <c r="H32" s="215">
        <v>7</v>
      </c>
      <c r="O32" s="229" t="s">
        <v>371</v>
      </c>
      <c r="P32" s="230" t="s">
        <v>372</v>
      </c>
      <c r="Q32" s="231">
        <v>70217535</v>
      </c>
      <c r="R32" s="227" t="s">
        <v>373</v>
      </c>
      <c r="S32" s="225" t="s">
        <v>215</v>
      </c>
      <c r="U32" s="324" t="s">
        <v>120</v>
      </c>
      <c r="V32" s="333"/>
      <c r="W32" s="327" t="s">
        <v>488</v>
      </c>
      <c r="Z32" s="220" t="str">
        <f>IF(COUNTIF(F33:F$106,F33)=1,ROW(F29),"")</f>
        <v/>
      </c>
      <c r="AA32" s="219" t="str">
        <f t="shared" si="0"/>
        <v>BF0169A</v>
      </c>
      <c r="AJ32" s="213"/>
      <c r="AK32" s="212"/>
      <c r="AL32" s="212"/>
      <c r="AM32" s="327"/>
    </row>
    <row r="33" spans="1:39" ht="16.5" thickBot="1">
      <c r="A33" s="363" t="s">
        <v>1272</v>
      </c>
      <c r="F33" s="244"/>
      <c r="G33" s="244"/>
      <c r="O33" s="229" t="s">
        <v>374</v>
      </c>
      <c r="P33" s="230" t="s">
        <v>375</v>
      </c>
      <c r="Q33" s="231">
        <v>70200346</v>
      </c>
      <c r="R33" s="227" t="s">
        <v>376</v>
      </c>
      <c r="S33" s="225" t="s">
        <v>215</v>
      </c>
      <c r="U33" s="60"/>
      <c r="Z33" s="220" t="str">
        <f>IF(COUNTIF(F34:F$106,F34)=1,ROW(F30),"")</f>
        <v/>
      </c>
      <c r="AA33" s="219" t="str">
        <f t="shared" si="0"/>
        <v>BF0061</v>
      </c>
      <c r="AJ33" s="213"/>
      <c r="AK33" s="212"/>
      <c r="AL33" s="212"/>
      <c r="AM33" s="327"/>
    </row>
    <row r="34" spans="1:39" ht="20.25" thickTop="1">
      <c r="A34" s="344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4" s="94" t="s">
        <v>57</v>
      </c>
      <c r="D34" s="95" t="s">
        <v>163</v>
      </c>
      <c r="F34" s="311"/>
      <c r="G34" s="307"/>
      <c r="O34" s="229" t="s">
        <v>397</v>
      </c>
      <c r="P34" s="230" t="s">
        <v>401</v>
      </c>
      <c r="Q34" s="231">
        <v>70217373</v>
      </c>
      <c r="R34" s="227" t="s">
        <v>402</v>
      </c>
      <c r="S34" s="233" t="s">
        <v>215</v>
      </c>
      <c r="U34" s="556" t="s">
        <v>503</v>
      </c>
      <c r="V34" s="556"/>
      <c r="W34" s="556"/>
      <c r="Z34" s="220" t="str">
        <f>IF(COUNTIF(F35:F$106,F35)=1,ROW(F31),"")</f>
        <v/>
      </c>
      <c r="AA34" s="219" t="str">
        <f t="shared" si="0"/>
        <v>BF0205A</v>
      </c>
      <c r="AJ34" s="213"/>
      <c r="AK34" s="212"/>
      <c r="AL34" s="212"/>
      <c r="AM34" s="327"/>
    </row>
    <row r="35" spans="1:39" ht="17.25">
      <c r="A35" s="364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5" s="92" t="s">
        <v>60</v>
      </c>
      <c r="D35" s="93" t="s">
        <v>60</v>
      </c>
      <c r="F35" s="314"/>
      <c r="G35" s="309"/>
      <c r="O35" s="229" t="s">
        <v>489</v>
      </c>
      <c r="P35" s="230" t="s">
        <v>490</v>
      </c>
      <c r="Q35" s="231">
        <v>70217231</v>
      </c>
      <c r="R35" s="227" t="s">
        <v>491</v>
      </c>
      <c r="S35" s="233" t="s">
        <v>215</v>
      </c>
      <c r="U35" s="334" t="s">
        <v>281</v>
      </c>
      <c r="V35" s="334" t="s">
        <v>474</v>
      </c>
      <c r="W35" s="334" t="s">
        <v>469</v>
      </c>
      <c r="Z35" s="220" t="str">
        <f>IF(COUNTIF(F36:F$106,F36)=1,ROW(F32),"")</f>
        <v/>
      </c>
      <c r="AA35" s="219" t="str">
        <f t="shared" si="0"/>
        <v>BF0093</v>
      </c>
      <c r="AJ35" s="213"/>
      <c r="AK35" s="212"/>
      <c r="AL35" s="212"/>
      <c r="AM35" s="327"/>
    </row>
    <row r="36" spans="1:39" ht="17.25">
      <c r="A36" s="368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6" s="84" t="s">
        <v>59</v>
      </c>
      <c r="D36" s="85" t="s">
        <v>59</v>
      </c>
      <c r="O36" s="229"/>
      <c r="P36" s="230"/>
      <c r="Q36" s="231"/>
      <c r="R36" s="212"/>
      <c r="S36" s="234"/>
      <c r="U36" s="335" t="s">
        <v>90</v>
      </c>
      <c r="V36" s="336" t="s">
        <v>470</v>
      </c>
      <c r="W36" s="338" t="s">
        <v>479</v>
      </c>
      <c r="Z36" s="220">
        <f>IF(COUNTIF(F37:F$106,F37)=1,ROW(F33),"")</f>
        <v>33</v>
      </c>
      <c r="AA36" s="219" t="str">
        <f t="shared" si="0"/>
        <v>BF0052</v>
      </c>
      <c r="AJ36" s="213"/>
      <c r="AK36" s="212"/>
      <c r="AL36" s="212"/>
      <c r="AM36" s="327"/>
    </row>
    <row r="37" spans="1:39" ht="17.25">
      <c r="A37" s="369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7" s="84" t="s">
        <v>63</v>
      </c>
      <c r="D37" s="85" t="s">
        <v>63</v>
      </c>
      <c r="F37" s="311" t="s">
        <v>252</v>
      </c>
      <c r="G37" s="307" t="s">
        <v>255</v>
      </c>
      <c r="H37" s="215">
        <v>9</v>
      </c>
      <c r="O37" s="229"/>
      <c r="P37" s="230"/>
      <c r="Q37" s="231"/>
      <c r="R37" s="212"/>
      <c r="S37" s="234"/>
      <c r="U37" s="337" t="s">
        <v>108</v>
      </c>
      <c r="V37" s="338" t="s">
        <v>471</v>
      </c>
      <c r="W37" s="338" t="s">
        <v>477</v>
      </c>
      <c r="Z37" s="220">
        <f>IF(COUNTIF(F38:F$106,F38)=1,ROW(F34),"")</f>
        <v>34</v>
      </c>
      <c r="AA37" s="219" t="str">
        <f t="shared" si="0"/>
        <v>BF0139</v>
      </c>
      <c r="AJ37" s="213"/>
      <c r="AK37" s="212"/>
      <c r="AL37" s="212"/>
      <c r="AM37" s="327"/>
    </row>
    <row r="38" spans="1:39" ht="17.25">
      <c r="A38" s="133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8" s="86" t="s">
        <v>69</v>
      </c>
      <c r="D38" s="87" t="s">
        <v>117</v>
      </c>
      <c r="F38" s="312" t="s">
        <v>254</v>
      </c>
      <c r="G38" s="313" t="s">
        <v>257</v>
      </c>
      <c r="H38" s="215">
        <v>9</v>
      </c>
      <c r="O38" s="229"/>
      <c r="P38" s="230"/>
      <c r="Q38" s="231"/>
      <c r="R38" s="212"/>
      <c r="S38" s="234"/>
      <c r="U38" s="337" t="s">
        <v>88</v>
      </c>
      <c r="V38" s="338" t="s">
        <v>470</v>
      </c>
      <c r="W38" s="338" t="s">
        <v>479</v>
      </c>
      <c r="Z38" s="220">
        <f>IF(COUNTIF(F39:F$106,F39)=1,ROW(F35),"")</f>
        <v>35</v>
      </c>
      <c r="AA38" s="219" t="str">
        <f t="shared" si="0"/>
        <v>BF0174A</v>
      </c>
      <c r="AJ38" s="213"/>
      <c r="AK38" s="212"/>
      <c r="AL38" s="212"/>
      <c r="AM38" s="327"/>
    </row>
    <row r="39" spans="1:39" ht="17.25">
      <c r="A39" s="370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9" s="84" t="s">
        <v>71</v>
      </c>
      <c r="D39" s="85" t="s">
        <v>117</v>
      </c>
      <c r="F39" s="312" t="s">
        <v>256</v>
      </c>
      <c r="G39" s="313"/>
      <c r="H39" s="215">
        <v>9</v>
      </c>
      <c r="O39" s="229"/>
      <c r="P39" s="230"/>
      <c r="Q39" s="231"/>
      <c r="R39" s="212"/>
      <c r="S39" s="234"/>
      <c r="U39" s="337" t="s">
        <v>109</v>
      </c>
      <c r="V39" s="338" t="s">
        <v>475</v>
      </c>
      <c r="W39" s="338" t="s">
        <v>476</v>
      </c>
      <c r="Z39" s="220">
        <f>IF(COUNTIF(F40:F$106,F40)=1,ROW(F36),"")</f>
        <v>36</v>
      </c>
      <c r="AA39" s="219" t="str">
        <f t="shared" si="0"/>
        <v>INT4</v>
      </c>
      <c r="AJ39" s="213"/>
      <c r="AK39" s="212"/>
      <c r="AL39" s="212"/>
      <c r="AM39" s="327"/>
    </row>
    <row r="40" spans="1:39" ht="17.25">
      <c r="C40" s="84" t="s">
        <v>84</v>
      </c>
      <c r="D40" s="85" t="s">
        <v>117</v>
      </c>
      <c r="F40" s="314" t="s">
        <v>316</v>
      </c>
      <c r="G40" s="309"/>
      <c r="H40" s="215">
        <v>9</v>
      </c>
      <c r="O40" s="229"/>
      <c r="P40" s="230"/>
      <c r="Q40" s="231"/>
      <c r="R40" s="212"/>
      <c r="S40" s="234"/>
      <c r="U40" s="337" t="s">
        <v>110</v>
      </c>
      <c r="V40" s="338"/>
      <c r="W40" s="338"/>
      <c r="Z40" s="220" t="str">
        <f>IF(COUNTIF(F41:F$106,F41)=1,ROW(F37),"")</f>
        <v/>
      </c>
      <c r="AA40" s="219" t="str">
        <f t="shared" si="0"/>
        <v>BF0181</v>
      </c>
      <c r="AJ40" s="213"/>
      <c r="AK40" s="212"/>
      <c r="AL40" s="212"/>
      <c r="AM40" s="327"/>
    </row>
    <row r="41" spans="1:39" ht="17.25">
      <c r="A41" s="25" t="s">
        <v>3</v>
      </c>
      <c r="C41" s="84" t="s">
        <v>61</v>
      </c>
      <c r="D41" s="85" t="s">
        <v>61</v>
      </c>
      <c r="O41" s="229"/>
      <c r="P41" s="230"/>
      <c r="Q41" s="231"/>
      <c r="R41" s="212"/>
      <c r="S41" s="234"/>
      <c r="U41" s="337" t="s">
        <v>97</v>
      </c>
      <c r="V41" s="338"/>
      <c r="W41" s="338"/>
      <c r="Z41" s="220">
        <f>IF(COUNTIF(F42:F$106,F42)=1,ROW(F38),"")</f>
        <v>38</v>
      </c>
      <c r="AA41" s="219" t="e">
        <f t="shared" si="0"/>
        <v>#REF!</v>
      </c>
      <c r="AJ41" s="213"/>
      <c r="AK41" s="212"/>
      <c r="AL41" s="212"/>
      <c r="AM41" s="327"/>
    </row>
    <row r="42" spans="1:39" ht="17.25">
      <c r="A42" s="105" t="s">
        <v>33</v>
      </c>
      <c r="C42" s="84" t="s">
        <v>62</v>
      </c>
      <c r="D42" s="85" t="s">
        <v>62</v>
      </c>
      <c r="F42" s="189" t="s">
        <v>318</v>
      </c>
      <c r="G42" s="177" t="s">
        <v>284</v>
      </c>
      <c r="H42" s="215">
        <v>10</v>
      </c>
      <c r="O42" s="229"/>
      <c r="P42" s="235"/>
      <c r="Q42" s="231"/>
      <c r="R42" s="212"/>
      <c r="S42" s="234"/>
      <c r="U42" s="337" t="s">
        <v>98</v>
      </c>
      <c r="V42" s="338" t="s">
        <v>470</v>
      </c>
      <c r="W42" s="338" t="s">
        <v>479</v>
      </c>
      <c r="Z42" s="220" t="str">
        <f>IF(COUNTIF(F43:F$106,F43)=1,ROW(F39),"")</f>
        <v/>
      </c>
      <c r="AA42" s="219" t="e">
        <f t="shared" si="0"/>
        <v>#REF!</v>
      </c>
      <c r="AJ42" s="213"/>
      <c r="AK42" s="212"/>
      <c r="AL42" s="212"/>
      <c r="AM42" s="327"/>
    </row>
    <row r="43" spans="1:39" ht="18" thickBot="1">
      <c r="A43" s="105" t="s">
        <v>20</v>
      </c>
      <c r="C43" s="84" t="s">
        <v>58</v>
      </c>
      <c r="D43" s="85" t="s">
        <v>58</v>
      </c>
      <c r="O43" s="236"/>
      <c r="P43" s="237"/>
      <c r="Q43" s="238"/>
      <c r="R43" s="239"/>
      <c r="S43" s="240"/>
      <c r="U43" s="337" t="s">
        <v>104</v>
      </c>
      <c r="V43" s="338" t="s">
        <v>470</v>
      </c>
      <c r="W43" s="338" t="s">
        <v>479</v>
      </c>
      <c r="Z43" s="220">
        <f>IF(COUNTIF(F44:F$106,F44)=1,ROW(F40),"")</f>
        <v>40</v>
      </c>
      <c r="AA43" s="219" t="e">
        <f t="shared" si="0"/>
        <v>#NUM!</v>
      </c>
      <c r="AJ43" s="213"/>
      <c r="AK43" s="212"/>
      <c r="AL43" s="212"/>
      <c r="AM43" s="327"/>
    </row>
    <row r="44" spans="1:39" ht="18" thickTop="1">
      <c r="A44" s="105" t="s">
        <v>18</v>
      </c>
      <c r="C44" s="84" t="s">
        <v>72</v>
      </c>
      <c r="D44" s="85" t="s">
        <v>118</v>
      </c>
      <c r="F44" s="82" t="s">
        <v>235</v>
      </c>
      <c r="G44" s="83" t="s">
        <v>242</v>
      </c>
      <c r="H44" s="215">
        <v>11</v>
      </c>
      <c r="O44" s="241"/>
      <c r="P44" s="242"/>
      <c r="Q44" s="241"/>
      <c r="U44" s="337" t="s">
        <v>96</v>
      </c>
      <c r="V44" s="338" t="s">
        <v>470</v>
      </c>
      <c r="W44" s="338" t="s">
        <v>479</v>
      </c>
      <c r="Z44" s="220" t="str">
        <f>IF(COUNTIF(F45:F$106,F45)=1,ROW(F41),"")</f>
        <v/>
      </c>
      <c r="AA44" s="219" t="e">
        <f t="shared" si="0"/>
        <v>#NUM!</v>
      </c>
      <c r="AJ44" s="213"/>
      <c r="AK44" s="212"/>
      <c r="AL44" s="212"/>
      <c r="AM44" s="327"/>
    </row>
    <row r="45" spans="1:39" ht="18" thickBot="1">
      <c r="A45" s="105" t="s">
        <v>34</v>
      </c>
      <c r="C45" s="84" t="s">
        <v>83</v>
      </c>
      <c r="D45" s="85" t="s">
        <v>118</v>
      </c>
      <c r="O45" s="241"/>
      <c r="P45" s="241"/>
      <c r="Q45" s="241"/>
      <c r="U45" s="337" t="s">
        <v>99</v>
      </c>
      <c r="V45" s="338" t="s">
        <v>470</v>
      </c>
      <c r="W45" s="338" t="s">
        <v>479</v>
      </c>
      <c r="Z45" s="220">
        <f>IF(COUNTIF(F46:F$106,F46)=1,ROW(F42),"")</f>
        <v>42</v>
      </c>
      <c r="AA45" s="219" t="str">
        <f t="shared" si="0"/>
        <v/>
      </c>
      <c r="AJ45" s="213"/>
      <c r="AK45" s="212"/>
      <c r="AL45" s="212"/>
      <c r="AM45" s="327"/>
    </row>
    <row r="46" spans="1:39" ht="17.25">
      <c r="A46" s="106" t="s">
        <v>56</v>
      </c>
      <c r="C46" s="84" t="s">
        <v>70</v>
      </c>
      <c r="D46" s="85" t="s">
        <v>118</v>
      </c>
      <c r="F46" s="182" t="s">
        <v>320</v>
      </c>
      <c r="G46" s="184" t="s">
        <v>323</v>
      </c>
      <c r="H46" s="215">
        <v>12</v>
      </c>
      <c r="O46" s="241"/>
      <c r="P46" s="241"/>
      <c r="Q46" s="241"/>
      <c r="U46" s="337" t="s">
        <v>100</v>
      </c>
      <c r="V46" s="338" t="s">
        <v>470</v>
      </c>
      <c r="W46" s="338" t="s">
        <v>479</v>
      </c>
      <c r="Z46" s="220">
        <f>IF(COUNTIF(F47:F$106,F47)=1,ROW(F43),"")</f>
        <v>43</v>
      </c>
      <c r="AA46" s="219" t="str">
        <f>IF(ISERROR(INDEX(F$5:F$76,SMALL(Z:Z,ROW(F46)))),"",INDEX(F$5:F$76,SMALL(Z:Z,ROW(F51))))</f>
        <v/>
      </c>
      <c r="AJ46" s="213"/>
      <c r="AK46" s="212"/>
      <c r="AL46" s="212"/>
      <c r="AM46" s="327"/>
    </row>
    <row r="47" spans="1:39" ht="17.25">
      <c r="C47" s="88" t="s">
        <v>113</v>
      </c>
      <c r="D47" s="89" t="s">
        <v>119</v>
      </c>
      <c r="F47" s="82" t="s">
        <v>334</v>
      </c>
      <c r="G47" s="83" t="s">
        <v>322</v>
      </c>
      <c r="H47" s="215">
        <v>12</v>
      </c>
      <c r="M47" s="1"/>
      <c r="O47" s="241"/>
      <c r="P47" s="243"/>
      <c r="Q47" s="241"/>
      <c r="U47" s="337" t="s">
        <v>101</v>
      </c>
      <c r="V47" s="338" t="s">
        <v>470</v>
      </c>
      <c r="W47" s="338" t="s">
        <v>479</v>
      </c>
      <c r="Z47" s="220">
        <f>IF(COUNTIF(F48:F$106,F48)=1,ROW(F44),"")</f>
        <v>44</v>
      </c>
      <c r="AA47" s="219" t="str">
        <f>IF(ISERROR(INDEX(F$5:F$76,SMALL(Z:Z,ROW(F47)))),"",INDEX(F$5:F$76,SMALL(Z:Z,ROW(F58))))</f>
        <v/>
      </c>
      <c r="AJ47" s="213"/>
      <c r="AK47" s="212"/>
      <c r="AL47" s="212"/>
      <c r="AM47" s="327"/>
    </row>
    <row r="48" spans="1:39" ht="18" thickBot="1">
      <c r="A48" s="61">
        <v>25</v>
      </c>
      <c r="C48" s="90"/>
      <c r="D48" s="91"/>
      <c r="F48" s="82" t="s">
        <v>464</v>
      </c>
      <c r="G48" s="83" t="s">
        <v>322</v>
      </c>
      <c r="H48" s="215">
        <v>12</v>
      </c>
      <c r="O48" s="241"/>
      <c r="P48" s="241"/>
      <c r="Q48" s="241"/>
      <c r="U48" s="337" t="s">
        <v>105</v>
      </c>
      <c r="V48" s="338"/>
      <c r="W48" s="338"/>
      <c r="Z48" s="220">
        <f>IF(COUNTIF(F49:F$106,F49)=1,ROW(F45),"")</f>
        <v>45</v>
      </c>
      <c r="AA48" s="219" t="str">
        <f>IF(ISERROR(INDEX(F$5:F$76,SMALL(Z:Z,ROW(F48)))),"",INDEX(F$5:F$76,SMALL(Z:Z,ROW(F59))))</f>
        <v/>
      </c>
      <c r="AJ48" s="213"/>
      <c r="AK48" s="212"/>
      <c r="AL48" s="212"/>
      <c r="AM48" s="327"/>
    </row>
    <row r="49" spans="1:39" ht="17.25" thickTop="1" thickBot="1">
      <c r="A49" s="61">
        <v>50</v>
      </c>
      <c r="F49" s="317" t="s">
        <v>465</v>
      </c>
      <c r="G49" s="318" t="s">
        <v>322</v>
      </c>
      <c r="H49" s="215">
        <v>12</v>
      </c>
      <c r="O49" s="241"/>
      <c r="P49" s="241"/>
      <c r="Q49" s="241"/>
      <c r="U49" s="337" t="s">
        <v>106</v>
      </c>
      <c r="V49" s="343" t="s">
        <v>480</v>
      </c>
      <c r="W49" s="338" t="s">
        <v>504</v>
      </c>
      <c r="Z49" s="220">
        <f>IF(COUNTIF(F51:F$106,F51)=1,ROW(F46),"")</f>
        <v>46</v>
      </c>
      <c r="AA49" s="219" t="str">
        <f>IF(ISERROR(INDEX(F$5:F$76,SMALL(Z:Z,ROW(F49)))),"",INDEX(F$5:F$76,SMALL(Z:Z,ROW(F60))))</f>
        <v/>
      </c>
      <c r="AJ49" s="213"/>
      <c r="AK49" s="212"/>
      <c r="AL49" s="212"/>
      <c r="AM49" s="327"/>
    </row>
    <row r="50" spans="1:39" ht="16.5" thickBot="1">
      <c r="A50" s="61" t="s">
        <v>15</v>
      </c>
      <c r="O50" s="241"/>
      <c r="P50" s="241"/>
      <c r="Q50" s="241"/>
      <c r="U50" s="337" t="s">
        <v>107</v>
      </c>
      <c r="V50" s="343" t="s">
        <v>473</v>
      </c>
      <c r="W50" s="338" t="s">
        <v>472</v>
      </c>
      <c r="Z50" s="220" t="str">
        <f>IF(COUNTIF(F58:F$106,F58)=1,ROW(F47),"")</f>
        <v/>
      </c>
      <c r="AA50" s="219" t="str">
        <f>IF(ISERROR(INDEX(F$5:F$76,SMALL(Z:Z,ROW(F51)))),"",INDEX(F$5:F$76,SMALL(Z:Z,ROW(F61))))</f>
        <v/>
      </c>
      <c r="AJ50" s="360"/>
      <c r="AK50" s="333"/>
      <c r="AL50" s="333"/>
      <c r="AM50" s="328"/>
    </row>
    <row r="51" spans="1:39" ht="15.75">
      <c r="A51" s="305"/>
      <c r="F51" s="182" t="s">
        <v>458</v>
      </c>
      <c r="G51" s="184" t="s">
        <v>327</v>
      </c>
      <c r="H51" s="215">
        <v>13</v>
      </c>
      <c r="O51" s="241"/>
      <c r="P51" s="241"/>
      <c r="Q51" s="241"/>
      <c r="U51" s="337" t="s">
        <v>91</v>
      </c>
      <c r="V51" s="338" t="s">
        <v>470</v>
      </c>
      <c r="W51" s="338" t="s">
        <v>479</v>
      </c>
      <c r="Z51" s="220"/>
      <c r="AA51" s="219"/>
    </row>
    <row r="52" spans="1:39" ht="15.75">
      <c r="A52" s="305"/>
      <c r="F52" s="82" t="s">
        <v>329</v>
      </c>
      <c r="G52" s="83" t="s">
        <v>328</v>
      </c>
      <c r="H52" s="215">
        <v>13</v>
      </c>
      <c r="O52" s="241"/>
      <c r="P52" s="241"/>
      <c r="Q52" s="241"/>
      <c r="U52" s="337" t="s">
        <v>92</v>
      </c>
      <c r="V52" s="343" t="s">
        <v>478</v>
      </c>
      <c r="W52" s="338" t="s">
        <v>477</v>
      </c>
      <c r="Z52" s="220"/>
      <c r="AA52" s="219"/>
    </row>
    <row r="53" spans="1:39" ht="15.75">
      <c r="A53" s="305"/>
      <c r="F53" s="82" t="s">
        <v>332</v>
      </c>
      <c r="G53" s="83" t="s">
        <v>328</v>
      </c>
      <c r="H53" s="215">
        <v>13</v>
      </c>
      <c r="O53" s="241"/>
      <c r="P53" s="241"/>
      <c r="Q53" s="241"/>
      <c r="R53" s="341"/>
      <c r="U53" s="337" t="s">
        <v>93</v>
      </c>
      <c r="V53" s="343" t="s">
        <v>478</v>
      </c>
      <c r="W53" s="338" t="s">
        <v>477</v>
      </c>
      <c r="Z53" s="220"/>
      <c r="AA53" s="219"/>
    </row>
    <row r="54" spans="1:39" ht="15.75">
      <c r="A54" s="305"/>
      <c r="F54" s="178" t="s">
        <v>459</v>
      </c>
      <c r="G54" s="179" t="s">
        <v>328</v>
      </c>
      <c r="H54" s="215">
        <v>13</v>
      </c>
      <c r="O54" s="241"/>
      <c r="P54" s="241"/>
      <c r="Q54" s="241"/>
      <c r="U54" s="337" t="s">
        <v>102</v>
      </c>
      <c r="V54" s="338" t="s">
        <v>470</v>
      </c>
      <c r="W54" s="338" t="s">
        <v>479</v>
      </c>
      <c r="Z54" s="220"/>
      <c r="AA54" s="219"/>
    </row>
    <row r="55" spans="1:39" ht="18" thickBot="1">
      <c r="A55" s="451" t="s">
        <v>2143</v>
      </c>
      <c r="F55" s="132"/>
      <c r="G55" s="315"/>
      <c r="O55" s="241"/>
      <c r="P55" s="241"/>
      <c r="Q55" s="241"/>
      <c r="U55" s="337" t="s">
        <v>103</v>
      </c>
      <c r="V55" s="338" t="s">
        <v>470</v>
      </c>
      <c r="W55" s="338" t="s">
        <v>479</v>
      </c>
      <c r="Z55" s="220"/>
      <c r="AA55" s="219"/>
    </row>
    <row r="56" spans="1:39" ht="15.75">
      <c r="A56" s="449" t="e">
        <f>IF(OR(#REF!="",LEN(#REF!)&lt;8),CONCATENATE("BP 00"," ",#REF!),#REF!)</f>
        <v>#REF!</v>
      </c>
      <c r="F56" s="182" t="s">
        <v>339</v>
      </c>
      <c r="G56" s="184" t="s">
        <v>337</v>
      </c>
      <c r="H56" s="215">
        <v>14</v>
      </c>
      <c r="O56" s="241"/>
      <c r="P56" s="241"/>
      <c r="Q56" s="241"/>
      <c r="U56" s="339" t="s">
        <v>94</v>
      </c>
      <c r="V56" s="338" t="s">
        <v>470</v>
      </c>
      <c r="W56" s="338" t="s">
        <v>479</v>
      </c>
      <c r="Z56" s="220"/>
      <c r="AA56" s="219"/>
    </row>
    <row r="57" spans="1:39" ht="15.75">
      <c r="A57" s="450" t="e">
        <f>MID(TRIM(Subst),SEARCH(CHAR(32),TRIM(Subst),1)+1,LEN(TRIM(Subst)))</f>
        <v>#REF!</v>
      </c>
      <c r="F57" s="82" t="s">
        <v>336</v>
      </c>
      <c r="G57" s="83" t="s">
        <v>337</v>
      </c>
      <c r="H57" s="215">
        <v>14</v>
      </c>
      <c r="O57" s="241"/>
      <c r="P57" s="241"/>
      <c r="Q57" s="241"/>
      <c r="U57" s="340" t="s">
        <v>95</v>
      </c>
      <c r="V57" s="342" t="s">
        <v>470</v>
      </c>
      <c r="W57" s="338" t="s">
        <v>479</v>
      </c>
      <c r="Z57" s="220">
        <f>IF(COUNTIF(F59:F$106,F59)=1,ROW(F48),"")</f>
        <v>48</v>
      </c>
      <c r="AA57" s="219" t="str">
        <f t="shared" ref="AA57:AA67" si="1">IF(ISERROR(INDEX(F$5:F$76,SMALL(Z:Z,ROW(F58)))),"",INDEX(F$5:F$76,SMALL(Z:Z,ROW(F62))))</f>
        <v/>
      </c>
    </row>
    <row r="58" spans="1:39" ht="15.75">
      <c r="A58" s="1" t="e">
        <f>MID(TRIM(Subst2),SEARCH(CHAR(32),TRIM(Subst2),1)+1,LEN(TRIM(Subst2)))</f>
        <v>#REF!</v>
      </c>
      <c r="F58" s="132"/>
      <c r="G58" s="316"/>
      <c r="O58" s="241"/>
      <c r="P58" s="241"/>
      <c r="Q58" s="241"/>
      <c r="Z58" s="220">
        <f>IF(COUNTIF(F60:F$106,F60)=1,ROW(F49),"")</f>
        <v>49</v>
      </c>
      <c r="AA58" s="219" t="str">
        <f t="shared" si="1"/>
        <v/>
      </c>
    </row>
    <row r="59" spans="1:39" ht="15.75">
      <c r="A59" s="465" t="e">
        <f>IF(ISERROR(A57),A58,A57)</f>
        <v>#REF!</v>
      </c>
      <c r="F59" s="311" t="s">
        <v>344</v>
      </c>
      <c r="G59" s="307" t="s">
        <v>345</v>
      </c>
      <c r="H59" s="215">
        <v>15</v>
      </c>
      <c r="O59" s="241"/>
      <c r="P59" s="241"/>
      <c r="Q59" s="241"/>
      <c r="Z59" s="220" t="str">
        <f>IF(COUNTIF(F61:F$106,F61)=1,ROW(F51),"")</f>
        <v/>
      </c>
      <c r="AA59" s="219" t="str">
        <f t="shared" si="1"/>
        <v/>
      </c>
    </row>
    <row r="60" spans="1:39" ht="17.25">
      <c r="A60" s="20" t="s">
        <v>26</v>
      </c>
      <c r="C60" s="25" t="s">
        <v>67</v>
      </c>
      <c r="D60" s="25" t="s">
        <v>163</v>
      </c>
      <c r="F60" s="314" t="s">
        <v>347</v>
      </c>
      <c r="G60" s="309" t="s">
        <v>348</v>
      </c>
      <c r="H60" s="215">
        <v>15</v>
      </c>
      <c r="O60" s="241"/>
      <c r="P60" s="241"/>
      <c r="Q60" s="241"/>
      <c r="Z60" s="220">
        <f>IF(COUNTIF(F62:F$106,F62)=1,ROW(F58),"")</f>
        <v>58</v>
      </c>
      <c r="AA60" s="219" t="str">
        <f t="shared" si="1"/>
        <v/>
      </c>
    </row>
    <row r="61" spans="1:39" ht="15.75">
      <c r="A61" s="22" t="s">
        <v>2</v>
      </c>
      <c r="C61" s="112" t="s">
        <v>129</v>
      </c>
      <c r="D61" s="133" t="s">
        <v>150</v>
      </c>
      <c r="F61" s="132"/>
      <c r="G61" s="132"/>
      <c r="H61" s="69"/>
      <c r="O61" s="241"/>
      <c r="P61" s="241"/>
      <c r="Q61" s="241"/>
      <c r="Z61" s="220">
        <f>IF(COUNTIF(F63:F$106,F63)=1,ROW(F59),"")</f>
        <v>59</v>
      </c>
      <c r="AA61" s="219" t="str">
        <f t="shared" si="1"/>
        <v/>
      </c>
    </row>
    <row r="62" spans="1:39" ht="15.75">
      <c r="A62" s="22" t="s">
        <v>28</v>
      </c>
      <c r="C62" s="112" t="s">
        <v>130</v>
      </c>
      <c r="D62" s="133" t="s">
        <v>150</v>
      </c>
      <c r="F62" s="306" t="s">
        <v>341</v>
      </c>
      <c r="G62" s="307" t="s">
        <v>342</v>
      </c>
      <c r="H62" s="215">
        <v>16</v>
      </c>
      <c r="O62" s="241"/>
      <c r="P62" s="241"/>
      <c r="Q62" s="241"/>
      <c r="Z62" s="220" t="str">
        <f>IF(COUNTIF(F64:F$106,F64)=1,ROW(F60),"")</f>
        <v/>
      </c>
      <c r="AA62" s="219" t="str">
        <f t="shared" si="1"/>
        <v/>
      </c>
    </row>
    <row r="63" spans="1:39" ht="15.75">
      <c r="A63" s="22" t="s">
        <v>23</v>
      </c>
      <c r="C63" s="112" t="s">
        <v>132</v>
      </c>
      <c r="D63" s="133" t="s">
        <v>151</v>
      </c>
      <c r="F63" s="308" t="s">
        <v>350</v>
      </c>
      <c r="G63" s="309" t="s">
        <v>342</v>
      </c>
      <c r="H63" s="215">
        <v>16</v>
      </c>
      <c r="O63" s="245"/>
      <c r="P63" s="245"/>
      <c r="Q63" s="245"/>
      <c r="R63" s="3"/>
      <c r="S63" s="3"/>
      <c r="T63" s="3"/>
      <c r="Z63" s="220">
        <f>IF(COUNTIF(F65:F$106,F65)=1,ROW(F61),"")</f>
        <v>61</v>
      </c>
      <c r="AA63" s="219" t="str">
        <f t="shared" si="1"/>
        <v/>
      </c>
    </row>
    <row r="64" spans="1:39" ht="16.5" thickBot="1">
      <c r="A64" s="24" t="s">
        <v>30</v>
      </c>
      <c r="C64" s="112" t="s">
        <v>131</v>
      </c>
      <c r="D64" s="133" t="s">
        <v>151</v>
      </c>
      <c r="F64" s="310"/>
      <c r="G64" s="132"/>
      <c r="I64" s="180" t="s">
        <v>220</v>
      </c>
      <c r="J64" s="181" t="s">
        <v>281</v>
      </c>
      <c r="K64" s="246" t="s">
        <v>282</v>
      </c>
      <c r="L64" s="246" t="s">
        <v>283</v>
      </c>
      <c r="M64" s="246" t="s">
        <v>453</v>
      </c>
      <c r="O64" s="245"/>
      <c r="P64" s="203"/>
      <c r="Q64" s="247"/>
      <c r="R64" s="248"/>
      <c r="S64" s="249"/>
      <c r="T64" s="250"/>
      <c r="Z64" s="220">
        <f>IF(COUNTIF(F66:F$106,F66)=1,ROW(F62),"")</f>
        <v>62</v>
      </c>
      <c r="AA64" s="219" t="str">
        <f t="shared" si="1"/>
        <v/>
      </c>
    </row>
    <row r="65" spans="1:27" ht="15.75">
      <c r="A65" s="24" t="s">
        <v>31</v>
      </c>
      <c r="C65" s="112" t="s">
        <v>148</v>
      </c>
      <c r="D65" s="133" t="s">
        <v>152</v>
      </c>
      <c r="F65" s="82" t="s">
        <v>360</v>
      </c>
      <c r="G65" s="177" t="s">
        <v>361</v>
      </c>
      <c r="H65" s="215">
        <v>17</v>
      </c>
      <c r="I65" s="182" t="s">
        <v>216</v>
      </c>
      <c r="J65" s="183" t="s">
        <v>174</v>
      </c>
      <c r="K65" s="251" t="s">
        <v>10</v>
      </c>
      <c r="L65" s="184" t="s">
        <v>217</v>
      </c>
      <c r="M65" s="252" t="s">
        <v>404</v>
      </c>
      <c r="O65" s="245"/>
      <c r="P65" s="203"/>
      <c r="Q65" s="203"/>
      <c r="R65" s="192"/>
      <c r="S65" s="193"/>
      <c r="T65" s="190"/>
      <c r="Z65" s="220" t="str">
        <f>IF(COUNTIF(F67:F$106,F67)=1,ROW(F63),"")</f>
        <v/>
      </c>
      <c r="AA65" s="219" t="str">
        <f t="shared" si="1"/>
        <v/>
      </c>
    </row>
    <row r="66" spans="1:27" ht="15.75">
      <c r="A66" s="24" t="s">
        <v>32</v>
      </c>
      <c r="C66" s="112" t="s">
        <v>78</v>
      </c>
      <c r="D66" s="133" t="s">
        <v>153</v>
      </c>
      <c r="F66" s="82" t="s">
        <v>365</v>
      </c>
      <c r="G66" s="177" t="s">
        <v>361</v>
      </c>
      <c r="H66" s="215">
        <v>17</v>
      </c>
      <c r="I66" s="82" t="s">
        <v>218</v>
      </c>
      <c r="J66" s="188" t="s">
        <v>174</v>
      </c>
      <c r="K66" s="253" t="s">
        <v>10</v>
      </c>
      <c r="L66" s="83" t="s">
        <v>219</v>
      </c>
      <c r="M66" s="254" t="s">
        <v>405</v>
      </c>
      <c r="O66" s="245"/>
      <c r="P66" s="203"/>
      <c r="Q66" s="203"/>
      <c r="R66" s="192"/>
      <c r="S66" s="193"/>
      <c r="T66" s="190"/>
      <c r="Z66" s="220">
        <f>IF(COUNTIF(F68:F$106,F68)=1,ROW(F64),"")</f>
        <v>64</v>
      </c>
      <c r="AA66" s="219" t="str">
        <f t="shared" si="1"/>
        <v/>
      </c>
    </row>
    <row r="67" spans="1:27" ht="15.75">
      <c r="A67" s="1" t="s">
        <v>6</v>
      </c>
      <c r="C67" s="112" t="s">
        <v>133</v>
      </c>
      <c r="D67" s="133" t="s">
        <v>154</v>
      </c>
      <c r="F67" s="56"/>
      <c r="G67" s="56"/>
      <c r="I67" s="82" t="s">
        <v>221</v>
      </c>
      <c r="J67" s="188" t="s">
        <v>112</v>
      </c>
      <c r="K67" s="253" t="s">
        <v>10</v>
      </c>
      <c r="L67" s="83" t="s">
        <v>278</v>
      </c>
      <c r="M67" s="254" t="s">
        <v>406</v>
      </c>
      <c r="O67" s="245"/>
      <c r="P67" s="245"/>
      <c r="Q67" s="245"/>
      <c r="R67" s="3"/>
      <c r="S67" s="3"/>
      <c r="T67" s="3"/>
      <c r="Z67" s="220" t="str">
        <f>IF(COUNTIF(F69:F$106,F69)=1,ROW(F65),"")</f>
        <v/>
      </c>
      <c r="AA67" s="219" t="str">
        <f t="shared" si="1"/>
        <v/>
      </c>
    </row>
    <row r="68" spans="1:27" ht="17.25">
      <c r="C68" s="112" t="s">
        <v>2150</v>
      </c>
      <c r="D68" s="133" t="s">
        <v>2151</v>
      </c>
      <c r="F68" s="82" t="s">
        <v>366</v>
      </c>
      <c r="G68" s="177" t="s">
        <v>367</v>
      </c>
      <c r="H68" s="215">
        <v>18</v>
      </c>
      <c r="I68" s="82" t="s">
        <v>222</v>
      </c>
      <c r="J68" s="185" t="s">
        <v>112</v>
      </c>
      <c r="K68" s="253" t="s">
        <v>10</v>
      </c>
      <c r="L68" s="83" t="s">
        <v>279</v>
      </c>
      <c r="M68" s="254" t="s">
        <v>407</v>
      </c>
      <c r="O68" s="245"/>
      <c r="P68" s="203"/>
      <c r="Q68" s="247"/>
      <c r="R68" s="248"/>
      <c r="S68" s="249"/>
      <c r="T68" s="250"/>
      <c r="Z68" s="220">
        <f>IF(COUNTIF(F70:F$106,F70)=1,ROW(F66),"")</f>
        <v>66</v>
      </c>
      <c r="AA68" s="219" t="str">
        <f>IF(ISERROR(INDEX(F$5:F$76,SMALL(Z:Z,ROW(F69)))),"",INDEX(F$5:F$76,SMALL(Z:Z,ROW(#REF!))))</f>
        <v/>
      </c>
    </row>
    <row r="69" spans="1:27" ht="15.75">
      <c r="C69" s="112" t="s">
        <v>2167</v>
      </c>
      <c r="D69" s="133" t="s">
        <v>2152</v>
      </c>
      <c r="F69" s="56"/>
      <c r="G69" s="56"/>
      <c r="I69" s="82" t="s">
        <v>223</v>
      </c>
      <c r="J69" s="186" t="s">
        <v>112</v>
      </c>
      <c r="K69" s="253" t="s">
        <v>10</v>
      </c>
      <c r="L69" s="83" t="s">
        <v>280</v>
      </c>
      <c r="M69" s="254" t="s">
        <v>408</v>
      </c>
      <c r="O69" s="3"/>
      <c r="P69" s="190"/>
      <c r="Q69" s="191"/>
      <c r="R69" s="192"/>
      <c r="S69" s="193"/>
      <c r="T69" s="190"/>
      <c r="Z69" s="220">
        <f>IF(COUNTIF(F71:F$106,F71)=1,ROW(F67),"")</f>
        <v>67</v>
      </c>
      <c r="AA69" s="219" t="str">
        <f>IF(ISERROR(INDEX(F$5:F$76,SMALL(Z:Z,ROW(F70)))),"",INDEX(F$5:F$76,SMALL(Z:Z,ROW(F73))))</f>
        <v/>
      </c>
    </row>
    <row r="70" spans="1:27" ht="15.75">
      <c r="C70" s="112" t="s">
        <v>134</v>
      </c>
      <c r="D70" s="133" t="s">
        <v>155</v>
      </c>
      <c r="F70" s="311" t="s">
        <v>395</v>
      </c>
      <c r="G70" s="307" t="s">
        <v>397</v>
      </c>
      <c r="H70" s="215">
        <v>19</v>
      </c>
      <c r="I70" s="82" t="s">
        <v>224</v>
      </c>
      <c r="J70" s="186" t="s">
        <v>170</v>
      </c>
      <c r="K70" s="253" t="s">
        <v>10</v>
      </c>
      <c r="L70" s="83" t="s">
        <v>276</v>
      </c>
      <c r="M70" s="254" t="s">
        <v>409</v>
      </c>
      <c r="O70" s="3"/>
      <c r="P70" s="3"/>
      <c r="Q70" s="3"/>
      <c r="R70" s="3"/>
      <c r="S70" s="3"/>
      <c r="T70" s="3"/>
      <c r="Z70" s="220">
        <f>IF(COUNTIF(F72:F$106,F72)=1,ROW(F68),"")</f>
        <v>68</v>
      </c>
      <c r="AA70" s="219" t="str">
        <f>IF(ISERROR(INDEX(F$5:F$76,SMALL(Z:Z,ROW(F71)))),"",INDEX(F$5:F$76,SMALL(Z:Z,ROW(F74))))</f>
        <v/>
      </c>
    </row>
    <row r="71" spans="1:27" ht="18.75">
      <c r="A71" s="19" t="s">
        <v>25</v>
      </c>
      <c r="C71" s="112" t="s">
        <v>394</v>
      </c>
      <c r="D71" s="133" t="s">
        <v>156</v>
      </c>
      <c r="F71" s="312" t="s">
        <v>396</v>
      </c>
      <c r="G71" s="313" t="s">
        <v>397</v>
      </c>
      <c r="H71" s="215">
        <v>19</v>
      </c>
      <c r="I71" s="82" t="s">
        <v>225</v>
      </c>
      <c r="J71" s="186" t="s">
        <v>170</v>
      </c>
      <c r="K71" s="253" t="s">
        <v>10</v>
      </c>
      <c r="L71" s="83" t="s">
        <v>277</v>
      </c>
      <c r="M71" s="254" t="s">
        <v>410</v>
      </c>
      <c r="O71" s="3"/>
      <c r="P71" s="190"/>
      <c r="Q71" s="255"/>
      <c r="R71" s="248"/>
      <c r="S71" s="249"/>
      <c r="T71" s="3"/>
      <c r="Z71" s="220" t="str">
        <f>IF(COUNTIF(F73:F$106,#REF!)=1,ROW(F69),"")</f>
        <v/>
      </c>
      <c r="AA71" s="219" t="str">
        <f>IF(ISERROR(INDEX(F$5:F$76,SMALL(Z:Z,ROW(F72)))),"",INDEX(F$5:F$76,SMALL(Z:Z,ROW(F75))))</f>
        <v/>
      </c>
    </row>
    <row r="72" spans="1:27" ht="15.75">
      <c r="A72" s="21" t="s">
        <v>24</v>
      </c>
      <c r="C72" s="107" t="s">
        <v>114</v>
      </c>
      <c r="D72" s="133" t="s">
        <v>157</v>
      </c>
      <c r="F72" s="314" t="s">
        <v>400</v>
      </c>
      <c r="G72" s="309" t="s">
        <v>397</v>
      </c>
      <c r="H72" s="215">
        <v>19</v>
      </c>
      <c r="I72" s="82" t="s">
        <v>226</v>
      </c>
      <c r="J72" s="187" t="s">
        <v>186</v>
      </c>
      <c r="K72" s="253" t="s">
        <v>10</v>
      </c>
      <c r="L72" s="83" t="s">
        <v>273</v>
      </c>
      <c r="M72" s="254" t="s">
        <v>411</v>
      </c>
      <c r="O72" s="3"/>
      <c r="P72" s="190"/>
      <c r="Q72" s="191"/>
      <c r="R72" s="192"/>
      <c r="S72" s="193"/>
      <c r="T72" s="56"/>
      <c r="Z72" s="220" t="str">
        <f>IF(COUNTIF(F73:F$106,F73)=1,ROW(F70),"")</f>
        <v/>
      </c>
      <c r="AA72" s="219" t="str">
        <f>IF(ISERROR(INDEX(F$5:F$76,SMALL(Z:Z,ROW(#REF!)))),"",INDEX(F$5:F$76,SMALL(Z:Z,ROW(F76))))</f>
        <v/>
      </c>
    </row>
    <row r="73" spans="1:27" ht="15.75">
      <c r="A73" s="21" t="s">
        <v>27</v>
      </c>
      <c r="C73" s="112" t="s">
        <v>149</v>
      </c>
      <c r="D73" s="133" t="s">
        <v>158</v>
      </c>
      <c r="F73" s="132"/>
      <c r="G73" s="132"/>
      <c r="I73" s="82" t="s">
        <v>1389</v>
      </c>
      <c r="J73" s="187" t="s">
        <v>186</v>
      </c>
      <c r="K73" s="253" t="s">
        <v>10</v>
      </c>
      <c r="L73" s="83" t="s">
        <v>1390</v>
      </c>
      <c r="M73" s="254" t="s">
        <v>1391</v>
      </c>
      <c r="O73" s="3"/>
      <c r="P73" s="190"/>
      <c r="Q73" s="191"/>
      <c r="R73" s="192"/>
      <c r="S73" s="193"/>
      <c r="T73" s="190"/>
      <c r="Z73" s="220">
        <f>IF(COUNTIF(F74:F$106,F74)=1,ROW(F71),"")</f>
        <v>71</v>
      </c>
      <c r="AA73" s="219" t="str">
        <f>IF(ISERROR(INDEX(F$5:F$76,SMALL(Z:Z,ROW(F73)))),"",INDEX(F$5:F$76,SMALL(Z:Z,ROW(F77))))</f>
        <v/>
      </c>
    </row>
    <row r="74" spans="1:27" ht="15.75">
      <c r="A74" s="23" t="s">
        <v>29</v>
      </c>
      <c r="C74" s="113" t="s">
        <v>135</v>
      </c>
      <c r="D74" s="133" t="s">
        <v>159</v>
      </c>
      <c r="F74" s="314" t="s">
        <v>377</v>
      </c>
      <c r="G74" s="309" t="s">
        <v>374</v>
      </c>
      <c r="H74" s="215">
        <v>20</v>
      </c>
      <c r="I74" s="82" t="s">
        <v>227</v>
      </c>
      <c r="J74" s="187" t="s">
        <v>186</v>
      </c>
      <c r="K74" s="253" t="s">
        <v>10</v>
      </c>
      <c r="L74" s="83" t="s">
        <v>275</v>
      </c>
      <c r="M74" s="254" t="s">
        <v>412</v>
      </c>
      <c r="O74" s="3"/>
      <c r="P74" s="190"/>
      <c r="Q74" s="191"/>
      <c r="R74" s="192"/>
      <c r="S74" s="193"/>
      <c r="T74" s="190"/>
      <c r="Z74" s="220">
        <f>IF(COUNTIF(F75:F$106,F75)=1,ROW(F72),"")</f>
        <v>72</v>
      </c>
      <c r="AA74" s="219" t="str">
        <f>IF(ISERROR(INDEX(F$5:F$76,SMALL(Z:Z,ROW(F74)))),"",INDEX(F$5:F$76,SMALL(Z:Z,ROW(F78))))</f>
        <v/>
      </c>
    </row>
    <row r="75" spans="1:27" ht="15.75">
      <c r="C75" s="112" t="s">
        <v>136</v>
      </c>
      <c r="D75" s="133" t="s">
        <v>160</v>
      </c>
      <c r="F75" s="314" t="s">
        <v>378</v>
      </c>
      <c r="G75" s="309" t="s">
        <v>371</v>
      </c>
      <c r="H75" s="215">
        <v>20</v>
      </c>
      <c r="I75" s="82" t="s">
        <v>228</v>
      </c>
      <c r="J75" s="188" t="s">
        <v>231</v>
      </c>
      <c r="K75" s="253" t="s">
        <v>10</v>
      </c>
      <c r="L75" s="83" t="s">
        <v>239</v>
      </c>
      <c r="M75" s="254" t="s">
        <v>413</v>
      </c>
      <c r="O75" s="3"/>
      <c r="P75" s="3"/>
      <c r="Q75" s="3"/>
      <c r="R75" s="3"/>
      <c r="S75" s="3"/>
      <c r="T75" s="3"/>
      <c r="Z75" s="220">
        <f>IF(COUNTIF(F76:F$106,F76)=1,ROW(F73),"")</f>
        <v>73</v>
      </c>
      <c r="AA75" s="219" t="str">
        <f>IF(ISERROR(INDEX(F$5:F$76,SMALL(Z:Z,ROW(F75)))),"",INDEX(F$5:F$76,SMALL(Z:Z,ROW(F79))))</f>
        <v/>
      </c>
    </row>
    <row r="76" spans="1:27" ht="15.75">
      <c r="C76" s="107" t="s">
        <v>120</v>
      </c>
      <c r="D76" s="133"/>
      <c r="F76" s="314" t="s">
        <v>370</v>
      </c>
      <c r="G76" s="309" t="s">
        <v>371</v>
      </c>
      <c r="H76" s="215">
        <v>20</v>
      </c>
      <c r="I76" s="82" t="s">
        <v>229</v>
      </c>
      <c r="J76" s="188" t="s">
        <v>231</v>
      </c>
      <c r="K76" s="253" t="s">
        <v>10</v>
      </c>
      <c r="L76" s="83" t="s">
        <v>240</v>
      </c>
      <c r="M76" s="254" t="s">
        <v>414</v>
      </c>
      <c r="O76" s="3"/>
      <c r="P76" s="190"/>
      <c r="Q76" s="255"/>
      <c r="R76" s="248"/>
      <c r="S76" s="249"/>
      <c r="T76" s="250"/>
      <c r="Z76" s="220">
        <f>IF(COUNTIF(F77:F$106,F77)=1,ROW(F74),"")</f>
        <v>74</v>
      </c>
      <c r="AA76" s="219" t="str">
        <f>IF(ISERROR(INDEX(F$5:F$76,SMALL(Z:Z,ROW(F76)))),"",INDEX(F$5:F$76,SMALL(Z:Z,ROW(F80))))</f>
        <v/>
      </c>
    </row>
    <row r="77" spans="1:27" ht="15.75">
      <c r="C77" s="112" t="s">
        <v>11</v>
      </c>
      <c r="D77" s="133"/>
      <c r="F77" s="314" t="s">
        <v>381</v>
      </c>
      <c r="G77" s="309" t="s">
        <v>371</v>
      </c>
      <c r="H77" s="215">
        <v>20</v>
      </c>
      <c r="I77" s="82" t="s">
        <v>230</v>
      </c>
      <c r="J77" s="188" t="s">
        <v>231</v>
      </c>
      <c r="K77" s="253" t="s">
        <v>10</v>
      </c>
      <c r="L77" s="83" t="s">
        <v>241</v>
      </c>
      <c r="M77" s="254" t="s">
        <v>415</v>
      </c>
      <c r="O77" s="3"/>
      <c r="P77" s="190"/>
      <c r="Q77" s="191"/>
      <c r="R77" s="192"/>
      <c r="S77" s="193"/>
      <c r="T77" s="190"/>
    </row>
    <row r="78" spans="1:27" ht="15.75">
      <c r="C78" s="145" t="s">
        <v>1276</v>
      </c>
      <c r="D78" s="133" t="s">
        <v>166</v>
      </c>
      <c r="F78" s="56"/>
      <c r="G78" s="56"/>
      <c r="I78" s="82" t="s">
        <v>232</v>
      </c>
      <c r="J78" s="188" t="s">
        <v>182</v>
      </c>
      <c r="K78" s="253" t="s">
        <v>10</v>
      </c>
      <c r="L78" s="83" t="s">
        <v>270</v>
      </c>
      <c r="M78" s="254" t="s">
        <v>416</v>
      </c>
      <c r="O78" s="3"/>
      <c r="P78" s="3"/>
      <c r="Q78" s="3"/>
      <c r="R78" s="3"/>
      <c r="S78" s="3"/>
      <c r="T78" s="3"/>
    </row>
    <row r="79" spans="1:27" ht="15.75">
      <c r="A79" s="453" t="s">
        <v>2145</v>
      </c>
      <c r="C79" s="145" t="s">
        <v>214</v>
      </c>
      <c r="D79" s="6"/>
      <c r="F79" s="314" t="s">
        <v>492</v>
      </c>
      <c r="G79" s="309" t="s">
        <v>308</v>
      </c>
      <c r="H79" s="215">
        <v>8</v>
      </c>
      <c r="I79" s="82" t="s">
        <v>233</v>
      </c>
      <c r="J79" s="188" t="s">
        <v>182</v>
      </c>
      <c r="K79" s="253" t="s">
        <v>10</v>
      </c>
      <c r="L79" s="83" t="s">
        <v>271</v>
      </c>
      <c r="M79" s="254" t="s">
        <v>417</v>
      </c>
      <c r="O79" s="3"/>
      <c r="P79" s="190"/>
      <c r="Q79" s="255"/>
      <c r="R79" s="248"/>
      <c r="S79" s="249"/>
      <c r="T79" s="250"/>
    </row>
    <row r="80" spans="1:27" ht="15.75">
      <c r="A80" s="452" t="e">
        <f>IF(LEFT(#REF!,3)="FEU","FEU "&amp;MID(#REF!,5,SEARCH(CHAR(32),#REF!,5)-4),MID(#REF!,1,SEARCH(CHAR(32),#REF!,1)-1))</f>
        <v>#REF!</v>
      </c>
      <c r="C80" s="145" t="s">
        <v>68</v>
      </c>
      <c r="D80" s="6"/>
      <c r="F80" s="314" t="s">
        <v>493</v>
      </c>
      <c r="G80" s="309" t="s">
        <v>489</v>
      </c>
      <c r="H80" s="215">
        <v>8</v>
      </c>
      <c r="I80" s="82" t="s">
        <v>234</v>
      </c>
      <c r="J80" s="188" t="s">
        <v>182</v>
      </c>
      <c r="K80" s="253" t="s">
        <v>10</v>
      </c>
      <c r="L80" s="83" t="s">
        <v>272</v>
      </c>
      <c r="M80" s="254" t="s">
        <v>418</v>
      </c>
      <c r="O80" s="3"/>
      <c r="P80" s="190"/>
      <c r="Q80" s="191"/>
      <c r="R80" s="192"/>
      <c r="S80" s="193"/>
      <c r="T80" s="190"/>
    </row>
    <row r="81" spans="1:22" ht="15.75">
      <c r="A81" s="464" t="e">
        <f>+TRIM(SUBSTITUTE(#REF!,#REF!,""))</f>
        <v>#REF!</v>
      </c>
      <c r="C81" s="145" t="s">
        <v>454</v>
      </c>
      <c r="D81" s="6" t="e">
        <f>CONCATENATE("CHECK LIST OUVERTURE DE"," ",#REF!," ","AVEC PROCURATION")</f>
        <v>#REF!</v>
      </c>
      <c r="F81" s="314" t="s">
        <v>216</v>
      </c>
      <c r="G81" s="309"/>
      <c r="H81" s="215">
        <v>8</v>
      </c>
      <c r="I81" s="82" t="s">
        <v>235</v>
      </c>
      <c r="J81" s="188" t="s">
        <v>176</v>
      </c>
      <c r="K81" s="253" t="s">
        <v>10</v>
      </c>
      <c r="L81" s="83" t="s">
        <v>242</v>
      </c>
      <c r="M81" s="254" t="s">
        <v>419</v>
      </c>
      <c r="O81" s="3"/>
      <c r="P81" s="3"/>
      <c r="Q81" s="3"/>
      <c r="R81" s="3"/>
      <c r="S81" s="3"/>
      <c r="T81" s="3"/>
    </row>
    <row r="82" spans="1:22" ht="15.75">
      <c r="A82" s="6"/>
      <c r="C82" s="145" t="s">
        <v>455</v>
      </c>
      <c r="D82" s="6"/>
      <c r="F82" s="314" t="s">
        <v>218</v>
      </c>
      <c r="G82" s="309"/>
      <c r="H82" s="215">
        <v>8</v>
      </c>
      <c r="I82" s="82" t="s">
        <v>236</v>
      </c>
      <c r="J82" s="188" t="s">
        <v>176</v>
      </c>
      <c r="K82" s="253" t="s">
        <v>10</v>
      </c>
      <c r="L82" s="83" t="s">
        <v>243</v>
      </c>
      <c r="M82" s="254" t="s">
        <v>420</v>
      </c>
      <c r="O82" s="3"/>
      <c r="P82" s="190"/>
      <c r="Q82" s="255"/>
      <c r="R82" s="248"/>
      <c r="S82" s="249"/>
      <c r="T82" s="250"/>
    </row>
    <row r="83" spans="1:22" ht="15.75">
      <c r="A83" s="453" t="s">
        <v>2147</v>
      </c>
      <c r="C83" s="60"/>
      <c r="D83" s="6"/>
      <c r="I83" s="82" t="s">
        <v>237</v>
      </c>
      <c r="J83" s="188" t="s">
        <v>176</v>
      </c>
      <c r="K83" s="253" t="s">
        <v>10</v>
      </c>
      <c r="L83" s="83" t="s">
        <v>244</v>
      </c>
      <c r="M83" s="254" t="s">
        <v>421</v>
      </c>
      <c r="O83" s="3"/>
      <c r="P83" s="190"/>
      <c r="Q83" s="191"/>
      <c r="R83" s="192"/>
      <c r="S83" s="193"/>
      <c r="T83" s="190"/>
    </row>
    <row r="84" spans="1:22" ht="15.75">
      <c r="A84" s="461" t="e">
        <f t="array" aca="1" ref="A84" ca="1">IF(SUM(ISNUMBER(SEARCH(IF(PARAMETRE!$W$394:$W$623&lt;&gt;"",PARAMETRE!$W$394:$W$623),#REF!))*ROW(PARAMETRE!$V$394:$V$623))&gt;0,INDIRECT("parametre!"&amp;ADDRESS(SUM(ISNUMBER(SEARCH(IF(PARAMETRE!$W$394:$W$623&lt;&gt;"",PARAMETRE!$W$394:$W$623),#REF!))*ROW(PARAMETRE!$W$394:$W$623)),23)),INDIRECT("parametre!"&amp;ADDRESS(SUM(ISNUMBER(SEARCH(IF(PARAMETRE!$V$394:$V$623&lt;&gt;"",PARAMETRE!$V$394:$V$623),#REF!))*ROW(PARAMETRE!$V$394:$V$623)),22)))</f>
        <v>#VALUE!</v>
      </c>
      <c r="C84" s="60"/>
      <c r="D84" s="6"/>
      <c r="F84" s="314" t="s">
        <v>351</v>
      </c>
      <c r="G84" s="309" t="s">
        <v>352</v>
      </c>
      <c r="H84" s="215">
        <v>21</v>
      </c>
      <c r="I84" s="82" t="s">
        <v>238</v>
      </c>
      <c r="J84" s="188" t="s">
        <v>176</v>
      </c>
      <c r="K84" s="253" t="s">
        <v>10</v>
      </c>
      <c r="L84" s="83" t="s">
        <v>245</v>
      </c>
      <c r="M84" s="254" t="s">
        <v>422</v>
      </c>
      <c r="O84" s="3"/>
      <c r="P84" s="190"/>
      <c r="Q84" s="191"/>
      <c r="R84" s="192"/>
      <c r="S84" s="193"/>
      <c r="T84" s="190"/>
    </row>
    <row r="85" spans="1:22" ht="15.75">
      <c r="A85" s="462" t="e">
        <f ca="1">IF(OR(ISNUMBER(#REF!),ISNUMBER(A91)),#REF!,A86)</f>
        <v>#REF!</v>
      </c>
      <c r="C85" s="60"/>
      <c r="D85" s="6"/>
      <c r="F85" s="314" t="s">
        <v>359</v>
      </c>
      <c r="G85" s="309" t="s">
        <v>352</v>
      </c>
      <c r="H85" s="215">
        <v>21</v>
      </c>
      <c r="I85" s="82" t="s">
        <v>246</v>
      </c>
      <c r="J85" s="188" t="s">
        <v>65</v>
      </c>
      <c r="K85" s="253" t="s">
        <v>10</v>
      </c>
      <c r="L85" s="83" t="s">
        <v>249</v>
      </c>
      <c r="M85" s="254" t="s">
        <v>423</v>
      </c>
      <c r="O85" s="3"/>
      <c r="P85" s="3"/>
      <c r="Q85" s="3"/>
      <c r="R85" s="3"/>
      <c r="S85" s="3"/>
      <c r="T85" s="3"/>
    </row>
    <row r="86" spans="1:22" ht="15.75">
      <c r="A86" s="463" t="e">
        <f ca="1">MID(#REF!,1,(LEN(#REF!)-LEN(PARAMETRE!A84)))</f>
        <v>#REF!</v>
      </c>
      <c r="C86" s="60"/>
      <c r="D86" s="6"/>
      <c r="F86" s="314" t="s">
        <v>1392</v>
      </c>
      <c r="G86" s="309" t="s">
        <v>352</v>
      </c>
      <c r="H86" s="215">
        <v>21</v>
      </c>
      <c r="I86" s="82" t="s">
        <v>247</v>
      </c>
      <c r="J86" s="188" t="s">
        <v>65</v>
      </c>
      <c r="K86" s="253" t="s">
        <v>10</v>
      </c>
      <c r="L86" s="83" t="s">
        <v>250</v>
      </c>
      <c r="M86" s="254" t="s">
        <v>424</v>
      </c>
      <c r="O86" s="3"/>
      <c r="P86" s="190"/>
      <c r="Q86" s="255"/>
      <c r="R86" s="248"/>
      <c r="S86" s="249"/>
      <c r="T86" s="250"/>
    </row>
    <row r="87" spans="1:22" ht="15.75">
      <c r="A87" s="460"/>
      <c r="C87" s="60"/>
      <c r="D87" s="6"/>
      <c r="F87" s="314" t="s">
        <v>353</v>
      </c>
      <c r="G87" s="309" t="s">
        <v>352</v>
      </c>
      <c r="H87" s="215">
        <v>21</v>
      </c>
      <c r="I87" s="82" t="s">
        <v>248</v>
      </c>
      <c r="J87" s="188" t="s">
        <v>65</v>
      </c>
      <c r="K87" s="253" t="s">
        <v>10</v>
      </c>
      <c r="L87" s="83" t="s">
        <v>251</v>
      </c>
      <c r="M87" s="254" t="s">
        <v>425</v>
      </c>
      <c r="O87" s="3"/>
      <c r="P87" s="3"/>
      <c r="Q87" s="3"/>
      <c r="R87" s="3"/>
      <c r="S87" s="3"/>
      <c r="T87" s="3"/>
    </row>
    <row r="88" spans="1:22" ht="15.75">
      <c r="A88" s="455" t="s">
        <v>2148</v>
      </c>
      <c r="C88" s="60"/>
      <c r="D88" s="6"/>
      <c r="F88" s="314" t="s">
        <v>1395</v>
      </c>
      <c r="G88" s="309" t="s">
        <v>352</v>
      </c>
      <c r="H88" s="215">
        <v>21</v>
      </c>
      <c r="I88" s="82" t="s">
        <v>252</v>
      </c>
      <c r="J88" s="188" t="s">
        <v>177</v>
      </c>
      <c r="K88" s="253" t="s">
        <v>10</v>
      </c>
      <c r="L88" s="83" t="s">
        <v>253</v>
      </c>
      <c r="M88" s="254" t="s">
        <v>426</v>
      </c>
      <c r="O88" s="3"/>
      <c r="P88" s="3"/>
      <c r="Q88" s="3"/>
      <c r="R88" s="3"/>
      <c r="S88" s="3"/>
      <c r="T88" s="3"/>
    </row>
    <row r="89" spans="1:22" ht="15.75">
      <c r="A89" s="458" t="e">
        <f t="array" ref="A89">INDEX(PARAMETRE!$W$394:'PARAMETRE'!$X$623,MATCH((IF(ISNA(RIGHT(#REF!,MATCH(CHAR(32),MID(#REF!,LEN(#REF!)-ROW($1:$350),1),0))),RIGHT(#REF!,MATCH(CHAR(47),MID(#REF!,LEN(#REF!)-ROW($1:$350),1),0)),RIGHT(#REF!,MATCH(CHAR(32),MID(#REF!,LEN(#REF!)-ROW($1:$350),1),0)))),PARAMETRE!$W$394:'PARAMETRE'!$W$623,0),1)</f>
        <v>#REF!</v>
      </c>
      <c r="C89" s="60"/>
      <c r="D89" s="6"/>
      <c r="F89" s="314" t="s">
        <v>1398</v>
      </c>
      <c r="G89" s="309" t="s">
        <v>356</v>
      </c>
      <c r="H89" s="215">
        <v>21</v>
      </c>
      <c r="I89" s="82" t="s">
        <v>254</v>
      </c>
      <c r="J89" s="188" t="s">
        <v>177</v>
      </c>
      <c r="K89" s="253" t="s">
        <v>10</v>
      </c>
      <c r="L89" s="83" t="s">
        <v>255</v>
      </c>
      <c r="M89" s="254" t="s">
        <v>427</v>
      </c>
      <c r="O89" s="3"/>
      <c r="P89" s="190"/>
      <c r="Q89" s="255"/>
      <c r="R89" s="248"/>
      <c r="S89" s="249"/>
      <c r="T89" s="250"/>
    </row>
    <row r="90" spans="1:22" ht="15.75">
      <c r="A90" s="452" t="e">
        <f>VLOOKUP(#REF!,PARAMETRE!W394:X440,2,FALSE)</f>
        <v>#REF!</v>
      </c>
      <c r="I90" s="82" t="s">
        <v>256</v>
      </c>
      <c r="J90" s="188" t="s">
        <v>177</v>
      </c>
      <c r="K90" s="253" t="s">
        <v>10</v>
      </c>
      <c r="L90" s="83" t="s">
        <v>257</v>
      </c>
      <c r="M90" s="254" t="s">
        <v>428</v>
      </c>
      <c r="O90" s="3"/>
      <c r="P90" s="190"/>
      <c r="Q90" s="191"/>
      <c r="R90" s="192"/>
      <c r="S90" s="193"/>
      <c r="T90" s="190"/>
    </row>
    <row r="91" spans="1:22" ht="15.75">
      <c r="A91" s="452" t="e">
        <f>VLOOKUP(#REF!,PARAMETRE!W396:X442,2,FALSE)</f>
        <v>#REF!</v>
      </c>
      <c r="I91" s="82" t="s">
        <v>258</v>
      </c>
      <c r="J91" s="188" t="s">
        <v>259</v>
      </c>
      <c r="K91" s="253" t="s">
        <v>10</v>
      </c>
      <c r="L91" s="83" t="s">
        <v>260</v>
      </c>
      <c r="M91" s="254" t="s">
        <v>495</v>
      </c>
      <c r="O91" s="3"/>
      <c r="P91" s="3"/>
      <c r="Q91" s="3"/>
      <c r="R91" s="3"/>
      <c r="S91" s="3"/>
      <c r="T91" s="3"/>
    </row>
    <row r="92" spans="1:22" ht="15.75">
      <c r="A92" s="226" t="s">
        <v>149</v>
      </c>
      <c r="C92" s="226" t="s">
        <v>16</v>
      </c>
      <c r="D92" s="226" t="s">
        <v>195</v>
      </c>
      <c r="I92" s="82" t="s">
        <v>316</v>
      </c>
      <c r="J92" s="188" t="s">
        <v>177</v>
      </c>
      <c r="K92" s="253" t="s">
        <v>10</v>
      </c>
      <c r="L92" s="83" t="s">
        <v>317</v>
      </c>
      <c r="M92" s="254" t="s">
        <v>429</v>
      </c>
      <c r="O92" s="3"/>
      <c r="P92" s="3"/>
      <c r="Q92" s="3"/>
      <c r="R92" s="3"/>
      <c r="S92" s="3"/>
      <c r="T92" s="3"/>
    </row>
    <row r="93" spans="1:22" ht="15.75">
      <c r="A93" s="256" t="s">
        <v>139</v>
      </c>
      <c r="C93" s="491" t="s">
        <v>191</v>
      </c>
      <c r="D93" s="345" t="s">
        <v>139</v>
      </c>
      <c r="I93" s="82" t="s">
        <v>320</v>
      </c>
      <c r="J93" s="188" t="s">
        <v>169</v>
      </c>
      <c r="K93" s="253" t="s">
        <v>169</v>
      </c>
      <c r="L93" s="83" t="s">
        <v>321</v>
      </c>
      <c r="M93" s="254" t="s">
        <v>430</v>
      </c>
      <c r="O93" s="3"/>
      <c r="P93" s="3"/>
      <c r="Q93" s="3"/>
      <c r="R93" s="3"/>
      <c r="S93" s="3"/>
      <c r="T93" s="3"/>
    </row>
    <row r="94" spans="1:22" ht="15.75">
      <c r="A94" s="257" t="s">
        <v>137</v>
      </c>
      <c r="C94" s="257" t="s">
        <v>192</v>
      </c>
      <c r="D94" s="259" t="s">
        <v>78</v>
      </c>
      <c r="I94" s="82" t="s">
        <v>329</v>
      </c>
      <c r="J94" s="188" t="s">
        <v>183</v>
      </c>
      <c r="K94" s="253" t="s">
        <v>169</v>
      </c>
      <c r="L94" s="83" t="s">
        <v>328</v>
      </c>
      <c r="M94" s="254" t="s">
        <v>431</v>
      </c>
      <c r="O94" s="3"/>
      <c r="P94" s="3"/>
      <c r="Q94" s="3"/>
      <c r="R94" s="3"/>
      <c r="S94" s="3"/>
      <c r="T94" s="3"/>
    </row>
    <row r="95" spans="1:22" ht="15.75">
      <c r="A95" s="257" t="s">
        <v>138</v>
      </c>
      <c r="C95" s="257" t="s">
        <v>193</v>
      </c>
      <c r="D95" s="358"/>
      <c r="I95" s="82" t="s">
        <v>332</v>
      </c>
      <c r="J95" s="188" t="s">
        <v>183</v>
      </c>
      <c r="K95" s="253" t="s">
        <v>169</v>
      </c>
      <c r="L95" s="83" t="s">
        <v>333</v>
      </c>
      <c r="M95" s="254" t="s">
        <v>432</v>
      </c>
      <c r="O95" s="3"/>
      <c r="P95" s="3"/>
      <c r="Q95" s="3"/>
      <c r="R95" s="3"/>
      <c r="S95" s="3"/>
      <c r="T95" s="3"/>
      <c r="U95" s="489" t="s">
        <v>2238</v>
      </c>
    </row>
    <row r="96" spans="1:22" ht="15.75">
      <c r="A96" s="257" t="s">
        <v>192</v>
      </c>
      <c r="C96" s="492" t="s">
        <v>315</v>
      </c>
      <c r="D96" s="358"/>
      <c r="I96" s="82" t="s">
        <v>339</v>
      </c>
      <c r="J96" s="188" t="s">
        <v>184</v>
      </c>
      <c r="K96" s="253" t="s">
        <v>169</v>
      </c>
      <c r="L96" s="83" t="s">
        <v>340</v>
      </c>
      <c r="M96" s="254" t="s">
        <v>433</v>
      </c>
      <c r="O96" s="3"/>
      <c r="P96" s="3"/>
      <c r="Q96" s="3"/>
      <c r="R96" s="3"/>
      <c r="S96" s="3"/>
      <c r="T96" s="3"/>
      <c r="U96" s="490">
        <f t="array" ref="U96">INDEX(PARAMETRE!W:W,MAX(ISNUMBER(SEARCH(IF(PARAMETRE!$S$101:$T$279&lt;&gt;"",PARAMETRE!$S$101:$T$279),#REF!))*ROW(PARAMETRE!$W$101:$W$279)))</f>
        <v>0</v>
      </c>
      <c r="V96" s="441" t="str">
        <f>IF(ISERROR(VLOOKUP(B17,PARAMETRE!U101:X402,4,0)),"ERROR",VLOOKUP(B17,PARAMETRE!U101:X402,4,0))</f>
        <v>ERROR</v>
      </c>
    </row>
    <row r="97" spans="1:25" ht="15.75">
      <c r="A97" s="258" t="s">
        <v>191</v>
      </c>
      <c r="C97" s="493" t="s">
        <v>2239</v>
      </c>
      <c r="D97" s="357" t="s">
        <v>6</v>
      </c>
      <c r="I97" s="82" t="s">
        <v>334</v>
      </c>
      <c r="J97" s="188" t="s">
        <v>169</v>
      </c>
      <c r="K97" s="253" t="s">
        <v>169</v>
      </c>
      <c r="L97" s="83" t="s">
        <v>335</v>
      </c>
      <c r="M97" s="254" t="s">
        <v>434</v>
      </c>
      <c r="O97" s="3"/>
      <c r="P97" s="3"/>
      <c r="Q97" s="3"/>
      <c r="R97" s="3"/>
      <c r="S97" s="3"/>
      <c r="T97" s="3"/>
    </row>
    <row r="98" spans="1:25" ht="15.75">
      <c r="A98" s="214"/>
      <c r="D98" s="1" t="str">
        <f>+IF(COUNTIF(C92,"BSMS")=1,2,IF(COUNTIF(C92,"SESAME"),3,""))</f>
        <v/>
      </c>
      <c r="I98" s="82" t="s">
        <v>336</v>
      </c>
      <c r="J98" s="188" t="s">
        <v>184</v>
      </c>
      <c r="K98" s="253" t="s">
        <v>169</v>
      </c>
      <c r="L98" s="83" t="s">
        <v>337</v>
      </c>
      <c r="M98" s="254" t="s">
        <v>435</v>
      </c>
      <c r="O98" s="3"/>
      <c r="P98" s="3"/>
      <c r="Q98" s="3"/>
      <c r="R98" s="3"/>
      <c r="S98" s="3"/>
      <c r="T98" s="3"/>
      <c r="U98" s="389" t="str">
        <f>IF(ISERROR(VLOOKUP(#REF!,PARAMETRE!U101:X302,2,0)),"",VLOOKUP(#REF!,PARAMETRE!U101:X302,2,0))</f>
        <v/>
      </c>
      <c r="V98" s="390">
        <f t="array" ref="V98">INDEX(PARAMETRE!W:W,MAX(ISNUMBER(SEARCH(IF(PARAMETRE!$S$101:$T$279&lt;&gt;"",PARAMETRE!$S$101:$T$279),#REF!))*ROW(PARAMETRE!$W$101:$W$279)))</f>
        <v>0</v>
      </c>
    </row>
    <row r="99" spans="1:25" ht="15.75">
      <c r="A99" s="453" t="s">
        <v>2146</v>
      </c>
      <c r="C99" s="453" t="s">
        <v>1402</v>
      </c>
      <c r="I99" s="82" t="s">
        <v>344</v>
      </c>
      <c r="J99" s="188" t="s">
        <v>181</v>
      </c>
      <c r="K99" s="253" t="s">
        <v>181</v>
      </c>
      <c r="L99" s="83" t="s">
        <v>345</v>
      </c>
      <c r="M99" s="254" t="s">
        <v>436</v>
      </c>
      <c r="O99" s="3"/>
      <c r="P99" s="3"/>
      <c r="Q99" s="3"/>
      <c r="R99" s="3"/>
      <c r="S99" s="3"/>
      <c r="T99" s="3"/>
    </row>
    <row r="100" spans="1:25" ht="24.75" customHeight="1" thickBot="1">
      <c r="A100" s="457" t="e">
        <f t="array" aca="1" ref="A100" ca="1">IF(SUM(ISNUMBER(SEARCH(IF(PARAMETRE!$W$394:$W$623&lt;&gt;"",PARAMETRE!$W$394:$W$623),#REF!))*ROW(PARAMETRE!$V$394:$V$623))&gt;0,INDIRECT("parametre!"&amp;ADDRESS(SUM(ISNUMBER(SEARCH(IF(PARAMETRE!$W$394:$W$623&lt;&gt;"",PARAMETRE!$W$394:$W$623),#REF!))*ROW(PARAMETRE!$W$394:$W$623)),23)),INDIRECT("parametre!"&amp;ADDRESS(SUM(ISNUMBER(SEARCH(IF(PARAMETRE!$V$394:$V$623&lt;&gt;"",PARAMETRE!$V$394:$V$623),#REF!))*ROW(PARAMETRE!$V$394:$V$623)),22)))</f>
        <v>#VALUE!</v>
      </c>
      <c r="B100" s="6"/>
      <c r="C100" s="457" t="e">
        <f t="array" aca="1" ref="C100" ca="1">IF(SUM(ISNUMBER(SEARCH(IF(PARAMETRE!$W$394:$W$623&lt;&gt;"",PARAMETRE!$W$394:$W$623),#REF!))*ROW(PARAMETRE!$V$394:$V$623))&gt;0,INDIRECT("parametre!"&amp;ADDRESS(SUM(ISNUMBER(SEARCH(IF(PARAMETRE!$W$394:$W$623&lt;&gt;"",PARAMETRE!$W$394:$W$623),#REF!))*ROW(PARAMETRE!$W$394:$W$623)),23)),INDIRECT("parametre!"&amp;ADDRESS(SUM(ISNUMBER(SEARCH(IF(PARAMETRE!$V$394:$V$623&lt;&gt;"",PARAMETRE!$V$394:$V$623),#REF!))*ROW(PARAMETRE!$V$394:$V$623)),22)))</f>
        <v>#VALUE!</v>
      </c>
      <c r="D100" s="459"/>
      <c r="G100" s="132"/>
      <c r="H100" s="132"/>
      <c r="I100" s="82" t="s">
        <v>341</v>
      </c>
      <c r="J100" s="188" t="s">
        <v>173</v>
      </c>
      <c r="K100" s="253" t="s">
        <v>173</v>
      </c>
      <c r="L100" s="83" t="s">
        <v>342</v>
      </c>
      <c r="M100" s="254" t="s">
        <v>437</v>
      </c>
      <c r="O100" s="3"/>
      <c r="P100" s="3"/>
      <c r="Q100" s="3"/>
      <c r="R100" s="3"/>
      <c r="S100" s="371" t="s">
        <v>215</v>
      </c>
      <c r="T100" s="371" t="s">
        <v>268</v>
      </c>
      <c r="U100" s="371" t="s">
        <v>7</v>
      </c>
      <c r="V100" s="371" t="s">
        <v>8</v>
      </c>
      <c r="W100" s="371" t="s">
        <v>1274</v>
      </c>
      <c r="X100" s="371" t="s">
        <v>1273</v>
      </c>
    </row>
    <row r="101" spans="1:25" ht="15.75">
      <c r="A101" s="456" t="e">
        <f ca="1">IF(OR(ISNUMBER(#REF!),ISNUMBER(A89)),#REF!,A102)</f>
        <v>#REF!</v>
      </c>
      <c r="B101" s="6"/>
      <c r="C101" s="456" t="e">
        <f ca="1">IF(OR(ISNUMBER(#REF!),ISNUMBER(C89)),#REF!,C102)</f>
        <v>#REF!</v>
      </c>
      <c r="D101" s="6"/>
      <c r="F101" s="1" t="s">
        <v>6</v>
      </c>
      <c r="G101" s="132"/>
      <c r="H101" s="132"/>
      <c r="I101" s="82" t="s">
        <v>350</v>
      </c>
      <c r="J101" s="188" t="s">
        <v>173</v>
      </c>
      <c r="K101" s="253" t="s">
        <v>173</v>
      </c>
      <c r="L101" s="83" t="s">
        <v>349</v>
      </c>
      <c r="M101" s="254" t="s">
        <v>438</v>
      </c>
      <c r="O101" s="3"/>
      <c r="P101" s="3"/>
      <c r="Q101" s="3"/>
      <c r="R101" s="3"/>
      <c r="S101" s="372" t="s">
        <v>1352</v>
      </c>
      <c r="T101" s="373" t="s">
        <v>1351</v>
      </c>
      <c r="U101" s="373" t="s">
        <v>1351</v>
      </c>
      <c r="V101" s="374" t="s">
        <v>661</v>
      </c>
      <c r="W101" s="375" t="s">
        <v>858</v>
      </c>
      <c r="X101" s="376" t="s">
        <v>964</v>
      </c>
      <c r="Y101" s="430" t="str">
        <f>IF(COUNTIF(U101:U279,U101)&gt;1,"DOUBLONS","")</f>
        <v/>
      </c>
    </row>
    <row r="102" spans="1:25" ht="15.75">
      <c r="A102" s="454" t="e">
        <f ca="1">MID(#REF!,1,(LEN(#REF!)-LEN(PARAMETRE!A100)))</f>
        <v>#REF!</v>
      </c>
      <c r="B102" s="6"/>
      <c r="C102" s="454" t="e">
        <f ca="1">MID(#REF!,1,(LEN(#REF!)-LEN(PARAMETRE!C100)))</f>
        <v>#REF!</v>
      </c>
      <c r="D102" s="6"/>
      <c r="I102" s="82" t="s">
        <v>344</v>
      </c>
      <c r="J102" s="188" t="s">
        <v>181</v>
      </c>
      <c r="K102" s="253" t="s">
        <v>181</v>
      </c>
      <c r="L102" s="83" t="s">
        <v>345</v>
      </c>
      <c r="M102" s="254" t="s">
        <v>436</v>
      </c>
      <c r="O102" s="3"/>
      <c r="P102" s="3"/>
      <c r="Q102" s="3"/>
      <c r="R102" s="3"/>
      <c r="S102" s="377" t="s">
        <v>1064</v>
      </c>
      <c r="T102" s="378" t="s">
        <v>1291</v>
      </c>
      <c r="U102" s="378" t="s">
        <v>1291</v>
      </c>
      <c r="V102" s="379" t="s">
        <v>539</v>
      </c>
      <c r="W102" s="380" t="s">
        <v>735</v>
      </c>
      <c r="X102" s="381" t="s">
        <v>965</v>
      </c>
      <c r="Y102" s="430" t="str">
        <f t="shared" ref="Y102:Y165" si="2">IF(COUNTIF(U102:U280,U102)&gt;1,"DOUBLONS","")</f>
        <v/>
      </c>
    </row>
    <row r="103" spans="1:25" ht="15.75">
      <c r="A103" s="3"/>
      <c r="B103" s="6"/>
      <c r="C103" s="6"/>
      <c r="D103" s="6"/>
      <c r="I103" s="82" t="s">
        <v>347</v>
      </c>
      <c r="J103" s="188" t="s">
        <v>181</v>
      </c>
      <c r="K103" s="253" t="s">
        <v>181</v>
      </c>
      <c r="L103" s="83" t="s">
        <v>348</v>
      </c>
      <c r="M103" s="254" t="s">
        <v>439</v>
      </c>
      <c r="O103" s="3"/>
      <c r="P103" s="3"/>
      <c r="Q103" s="3"/>
      <c r="R103" s="3"/>
      <c r="S103" s="377" t="s">
        <v>1069</v>
      </c>
      <c r="T103" s="378" t="s">
        <v>1296</v>
      </c>
      <c r="U103" s="378" t="s">
        <v>1296</v>
      </c>
      <c r="V103" s="379" t="s">
        <v>552</v>
      </c>
      <c r="W103" s="380" t="s">
        <v>748</v>
      </c>
      <c r="X103" s="381" t="s">
        <v>1001</v>
      </c>
      <c r="Y103" s="430" t="str">
        <f t="shared" si="2"/>
        <v/>
      </c>
    </row>
    <row r="104" spans="1:25" ht="15.75">
      <c r="A104" s="3"/>
      <c r="B104" s="6"/>
      <c r="C104" s="6"/>
      <c r="D104" s="6"/>
      <c r="I104" s="82" t="s">
        <v>351</v>
      </c>
      <c r="J104" s="188" t="s">
        <v>171</v>
      </c>
      <c r="K104" s="253" t="s">
        <v>171</v>
      </c>
      <c r="L104" s="83" t="s">
        <v>352</v>
      </c>
      <c r="M104" s="254" t="s">
        <v>440</v>
      </c>
      <c r="O104" s="3"/>
      <c r="P104" s="3"/>
      <c r="Q104" s="3"/>
      <c r="R104" s="3"/>
      <c r="S104" s="377" t="s">
        <v>1048</v>
      </c>
      <c r="T104" s="378" t="s">
        <v>1278</v>
      </c>
      <c r="U104" s="378" t="s">
        <v>1278</v>
      </c>
      <c r="V104" s="379" t="s">
        <v>509</v>
      </c>
      <c r="W104" s="380" t="s">
        <v>705</v>
      </c>
      <c r="X104" s="381" t="s">
        <v>239</v>
      </c>
      <c r="Y104" s="430" t="str">
        <f t="shared" si="2"/>
        <v/>
      </c>
    </row>
    <row r="105" spans="1:25" ht="15.75">
      <c r="C105" s="6"/>
      <c r="D105" s="478"/>
      <c r="I105" s="82" t="s">
        <v>353</v>
      </c>
      <c r="J105" s="188" t="s">
        <v>171</v>
      </c>
      <c r="K105" s="253" t="s">
        <v>171</v>
      </c>
      <c r="L105" s="83" t="s">
        <v>354</v>
      </c>
      <c r="M105" s="254" t="s">
        <v>441</v>
      </c>
      <c r="O105" s="3"/>
      <c r="P105" s="3"/>
      <c r="Q105" s="3"/>
      <c r="R105" s="3"/>
      <c r="S105" s="475" t="s">
        <v>1108</v>
      </c>
      <c r="T105" s="476" t="s">
        <v>1331</v>
      </c>
      <c r="U105" s="476" t="s">
        <v>1331</v>
      </c>
      <c r="V105" s="477" t="s">
        <v>604</v>
      </c>
      <c r="W105" s="380" t="s">
        <v>800</v>
      </c>
      <c r="X105" s="381" t="s">
        <v>1038</v>
      </c>
      <c r="Y105" s="430" t="str">
        <f t="shared" si="2"/>
        <v>DOUBLONS</v>
      </c>
    </row>
    <row r="106" spans="1:25" ht="16.5" thickBot="1">
      <c r="A106" s="260" t="s">
        <v>319</v>
      </c>
      <c r="I106" s="82" t="s">
        <v>359</v>
      </c>
      <c r="J106" s="188" t="s">
        <v>171</v>
      </c>
      <c r="K106" s="253" t="s">
        <v>171</v>
      </c>
      <c r="L106" s="83" t="s">
        <v>356</v>
      </c>
      <c r="M106" s="254" t="s">
        <v>442</v>
      </c>
      <c r="O106" s="3"/>
      <c r="P106" s="3"/>
      <c r="Q106" s="3"/>
      <c r="R106" s="3"/>
      <c r="S106" s="377" t="s">
        <v>1287</v>
      </c>
      <c r="T106" s="378" t="s">
        <v>1287</v>
      </c>
      <c r="U106" s="378" t="s">
        <v>1287</v>
      </c>
      <c r="V106" s="379" t="s">
        <v>526</v>
      </c>
      <c r="W106" s="380" t="s">
        <v>722</v>
      </c>
      <c r="X106" s="381" t="s">
        <v>962</v>
      </c>
      <c r="Y106" s="430" t="str">
        <f t="shared" si="2"/>
        <v/>
      </c>
    </row>
    <row r="107" spans="1:25" ht="17.25" thickTop="1" thickBot="1">
      <c r="A107" s="273" t="e">
        <f>+IF(COUNTIF(#REF!,"*PACK SALARIA*")=1,"Conditions Générales Pack salaria.pdf",IF(COUNTIF(#REF!,"*PACK FONXIONARIA*")=1,"Conditions Générales Pack FONXIONARIA.pdf",IF(OR(COUNTIF(#REF!,"*COMPTE CHEQUE*")=1,COUNTIF(#REF!,"*COMPTE VIREMENT*")),"Conditions générales Sesame+.pdf",IF(COUNTIF(#REF!,"PLAN EPARGNE AMBITION")=1,"Conditions Générales PEA.pdf",IF(COUNTIF(#REF!,"*BUSINESS*")=1,"Conditions Générales Pack My Business1.pdf")))))</f>
        <v>#REF!</v>
      </c>
      <c r="C107" s="423" t="e">
        <f>SEARCH(" ",#REF!,(SEARCH(" ",#REF!,1)))</f>
        <v>#REF!</v>
      </c>
      <c r="D107" s="424" t="e">
        <f>SEARCH(" ",#REF!,(SEARCH(" ",#REF!,1)))</f>
        <v>#REF!</v>
      </c>
      <c r="I107" s="82" t="s">
        <v>360</v>
      </c>
      <c r="J107" s="188" t="s">
        <v>188</v>
      </c>
      <c r="K107" s="253" t="s">
        <v>188</v>
      </c>
      <c r="L107" s="83" t="s">
        <v>361</v>
      </c>
      <c r="M107" s="254" t="s">
        <v>443</v>
      </c>
      <c r="O107" s="3"/>
      <c r="P107" s="3"/>
      <c r="Q107" s="3"/>
      <c r="R107" s="3"/>
      <c r="S107" s="377" t="s">
        <v>1095</v>
      </c>
      <c r="T107" s="378" t="s">
        <v>1320</v>
      </c>
      <c r="U107" s="378" t="s">
        <v>1320</v>
      </c>
      <c r="V107" s="379" t="s">
        <v>582</v>
      </c>
      <c r="W107" s="380" t="s">
        <v>779</v>
      </c>
      <c r="X107" s="381" t="s">
        <v>967</v>
      </c>
      <c r="Y107" s="430" t="str">
        <f t="shared" si="2"/>
        <v/>
      </c>
    </row>
    <row r="108" spans="1:25" ht="16.5" thickBot="1">
      <c r="A108" s="274" t="e">
        <f>+IF(OR(COUNTIF(#REF!,"*PACK SALARIA*")=1,COUNTIF(#REF!,"*PACK FONXIONARIA*")=1),"Conditions Générales SESAME+.pdf",IF(OR(COUNTIF(#REF!,"*COMPTE CHEQUE*")=1,COUNTIF(#REF!,"*COMPTE VIREMENT*")),"Notice d'Information sur les instruments de Paiement.pdf",IF(COUNTIF(#REF!,"PLAN EPARGNE AMBITION")=1,"Notice d'Information sur les instruments de Paiement.pdf",IF(COUNTIF(#REF!,"*BUSINESS*")=1,"Conditions Générales Pack My Business2.pdf",""))))</f>
        <v>#REF!</v>
      </c>
      <c r="C108" s="80" t="e">
        <f>+SEARCH(" ",#REF!,(SEARCH(" ",#REF!,1)))</f>
        <v>#REF!</v>
      </c>
      <c r="D108" s="81" t="e">
        <f>SEARCH(" ",#REF!,(SEARCH(" ",#REF!,1)))</f>
        <v>#REF!</v>
      </c>
      <c r="I108" s="82" t="s">
        <v>365</v>
      </c>
      <c r="J108" s="188" t="s">
        <v>188</v>
      </c>
      <c r="K108" s="253" t="s">
        <v>188</v>
      </c>
      <c r="L108" s="83" t="s">
        <v>364</v>
      </c>
      <c r="M108" s="254" t="s">
        <v>444</v>
      </c>
      <c r="O108" s="3"/>
      <c r="P108" s="3"/>
      <c r="Q108" s="3"/>
      <c r="R108" s="3"/>
      <c r="S108" s="377" t="s">
        <v>1119</v>
      </c>
      <c r="T108" s="378" t="s">
        <v>1119</v>
      </c>
      <c r="U108" s="378" t="s">
        <v>1119</v>
      </c>
      <c r="V108" s="379" t="s">
        <v>644</v>
      </c>
      <c r="W108" s="380" t="s">
        <v>841</v>
      </c>
      <c r="X108" s="381" t="s">
        <v>969</v>
      </c>
      <c r="Y108" s="430" t="str">
        <f t="shared" si="2"/>
        <v/>
      </c>
    </row>
    <row r="109" spans="1:25" ht="16.5" thickTop="1">
      <c r="A109" s="275" t="e">
        <f>+IF(OR(COUNTIF(#REF!,"*PACK SALARIA*")=1,COUNTIF(#REF!,"*PACK FONXIONARIA*")=1),"Notice d'Information sur les instruments de paiement.pdf","")</f>
        <v>#REF!</v>
      </c>
      <c r="C109" s="537" t="s">
        <v>116</v>
      </c>
      <c r="D109" s="538"/>
      <c r="E109" s="10"/>
      <c r="I109" s="82" t="s">
        <v>366</v>
      </c>
      <c r="J109" s="188" t="s">
        <v>180</v>
      </c>
      <c r="K109" s="253" t="s">
        <v>180</v>
      </c>
      <c r="L109" s="83" t="s">
        <v>367</v>
      </c>
      <c r="M109" s="254" t="s">
        <v>445</v>
      </c>
      <c r="O109" s="3"/>
      <c r="P109" s="3"/>
      <c r="Q109" s="3"/>
      <c r="R109" s="3"/>
      <c r="S109" s="377" t="s">
        <v>1141</v>
      </c>
      <c r="T109" s="378" t="s">
        <v>1293</v>
      </c>
      <c r="U109" s="378" t="s">
        <v>1293</v>
      </c>
      <c r="V109" s="379" t="s">
        <v>544</v>
      </c>
      <c r="W109" s="380" t="s">
        <v>740</v>
      </c>
      <c r="X109" s="381" t="s">
        <v>966</v>
      </c>
      <c r="Y109" s="430" t="str">
        <f t="shared" si="2"/>
        <v/>
      </c>
    </row>
    <row r="110" spans="1:25" ht="15.75">
      <c r="A110" s="276" t="e">
        <f>+IF(COUNTIF(#REF!,"*PACK FONXIONARIA*")=1,"Conditions Générales PEA.pdf","")</f>
        <v>#REF!</v>
      </c>
      <c r="C110" s="76" t="e">
        <f>IF(LEN(#REF!)-LEN(SUBSTITUTE(#REF!,"/",""))=0,#REF!,MID(#REF!,1,SEARCH("/",#REF!)-1))</f>
        <v>#REF!</v>
      </c>
      <c r="D110" s="77" t="e">
        <f>IF(LEN(#REF!)-LEN(SUBSTITUTE(#REF!,"/",""))=0,#REF!,MID(#REF!,1,SEARCH("/",#REF!)-1))</f>
        <v>#REF!</v>
      </c>
      <c r="I110" s="82" t="s">
        <v>370</v>
      </c>
      <c r="J110" s="188" t="s">
        <v>172</v>
      </c>
      <c r="K110" s="253" t="s">
        <v>172</v>
      </c>
      <c r="L110" s="83" t="s">
        <v>371</v>
      </c>
      <c r="M110" s="254" t="s">
        <v>446</v>
      </c>
      <c r="O110" s="3"/>
      <c r="P110" s="3"/>
      <c r="Q110" s="3"/>
      <c r="R110" s="3"/>
      <c r="S110" s="377" t="s">
        <v>1138</v>
      </c>
      <c r="T110" s="378" t="s">
        <v>1363</v>
      </c>
      <c r="U110" s="378" t="s">
        <v>1363</v>
      </c>
      <c r="V110" s="379" t="s">
        <v>686</v>
      </c>
      <c r="W110" s="380" t="s">
        <v>884</v>
      </c>
      <c r="X110" s="381" t="s">
        <v>971</v>
      </c>
      <c r="Y110" s="430" t="str">
        <f t="shared" si="2"/>
        <v/>
      </c>
    </row>
    <row r="111" spans="1:25" ht="15.75">
      <c r="C111" s="76" t="e">
        <f>IF(LEN(#REF!)-LEN(SUBSTITUTE(#REF!,"/",""))=0,"",IF(LEN(#REF!)-LEN(SUBSTITUTE(#REF!,"/",""))=1,SUBSTITUTE(#REF!,C110&amp;"/",""),IF(LEN(#REF!)-LEN(SUBSTITUTE(#REF!,"/",""))=2,MID(SUBSTITUTE(#REF!,C110&amp;"/",""),1,SEARCH("/",SUBSTITUTE(#REF!,C110&amp;"/",""))-1))))</f>
        <v>#REF!</v>
      </c>
      <c r="D111" s="262" t="e">
        <f>IF(LEN(#REF!)-LEN(SUBSTITUTE(#REF!,"/",""))=0,"",IF(LEN(#REF!)-LEN(SUBSTITUTE(#REF!,"/",""))=1,SUBSTITUTE(#REF!,D110&amp;"/",""),IF(LEN(#REF!)-LEN(SUBSTITUTE(#REF!,"/",""))=2,MID(SUBSTITUTE(#REF!,D110&amp;"/",""),1,SEARCH("/",SUBSTITUTE(#REF!,D110&amp;"/",""))-1))))</f>
        <v>#REF!</v>
      </c>
      <c r="E111" s="1" t="str">
        <f>IF(ISBLANK(D111),"oui","non")</f>
        <v>non</v>
      </c>
      <c r="I111" s="82" t="s">
        <v>377</v>
      </c>
      <c r="J111" s="188" t="s">
        <v>172</v>
      </c>
      <c r="K111" s="253" t="s">
        <v>172</v>
      </c>
      <c r="L111" s="83" t="s">
        <v>374</v>
      </c>
      <c r="M111" s="254" t="s">
        <v>447</v>
      </c>
      <c r="O111" s="3"/>
      <c r="P111" s="3"/>
      <c r="Q111" s="3"/>
      <c r="R111" s="3"/>
      <c r="S111" s="377" t="s">
        <v>1058</v>
      </c>
      <c r="T111" s="378" t="s">
        <v>1286</v>
      </c>
      <c r="U111" s="378" t="s">
        <v>1286</v>
      </c>
      <c r="V111" s="379" t="s">
        <v>524</v>
      </c>
      <c r="W111" s="380" t="s">
        <v>720</v>
      </c>
      <c r="X111" s="381" t="s">
        <v>970</v>
      </c>
      <c r="Y111" s="430" t="str">
        <f t="shared" si="2"/>
        <v/>
      </c>
    </row>
    <row r="112" spans="1:25" ht="16.5" thickBot="1">
      <c r="C112" s="78" t="e">
        <f>IF(LEN(#REF!)-LEN(SUBSTITUTE(#REF!,"/",""))&lt;2,"",SUBSTITUTE(#REF!,C110&amp;"/"&amp;C111&amp;"/",""))</f>
        <v>#REF!</v>
      </c>
      <c r="D112" s="79" t="e">
        <f>IF(LEN(#REF!)-LEN(SUBSTITUTE(#REF!,"/",""))&lt;2,"",SUBSTITUTE(#REF!,D110&amp;"/"&amp;D111&amp;"/",""))</f>
        <v>#REF!</v>
      </c>
      <c r="E112" s="1" t="e">
        <f>IF(LEN(D111)&gt;5,"oui","")</f>
        <v>#REF!</v>
      </c>
      <c r="I112" s="82" t="s">
        <v>378</v>
      </c>
      <c r="J112" s="188" t="s">
        <v>172</v>
      </c>
      <c r="K112" s="253" t="s">
        <v>172</v>
      </c>
      <c r="L112" s="83" t="s">
        <v>379</v>
      </c>
      <c r="M112" s="254" t="s">
        <v>448</v>
      </c>
      <c r="O112" s="3"/>
      <c r="P112" s="3"/>
      <c r="Q112" s="3"/>
      <c r="R112" s="3"/>
      <c r="S112" s="382" t="s">
        <v>1259</v>
      </c>
      <c r="T112" s="379" t="s">
        <v>1260</v>
      </c>
      <c r="U112" s="379" t="s">
        <v>1260</v>
      </c>
      <c r="V112" s="379" t="s">
        <v>545</v>
      </c>
      <c r="W112" s="380" t="s">
        <v>741</v>
      </c>
      <c r="X112" s="381" t="s">
        <v>972</v>
      </c>
      <c r="Y112" s="430" t="str">
        <f t="shared" si="2"/>
        <v/>
      </c>
    </row>
    <row r="113" spans="1:25" ht="16.5" thickTop="1">
      <c r="A113" s="184" t="s">
        <v>262</v>
      </c>
      <c r="C113" s="142"/>
      <c r="D113" s="143"/>
      <c r="I113" s="82" t="s">
        <v>381</v>
      </c>
      <c r="J113" s="188" t="s">
        <v>172</v>
      </c>
      <c r="K113" s="253" t="s">
        <v>172</v>
      </c>
      <c r="L113" s="83" t="s">
        <v>380</v>
      </c>
      <c r="M113" s="254" t="s">
        <v>449</v>
      </c>
      <c r="O113" s="3"/>
      <c r="P113" s="3"/>
      <c r="Q113" s="3"/>
      <c r="R113" s="3"/>
      <c r="S113" s="377" t="s">
        <v>1139</v>
      </c>
      <c r="T113" s="378" t="s">
        <v>1336</v>
      </c>
      <c r="U113" s="378" t="s">
        <v>1336</v>
      </c>
      <c r="V113" s="379" t="s">
        <v>620</v>
      </c>
      <c r="W113" s="380" t="s">
        <v>815</v>
      </c>
      <c r="X113" s="381" t="s">
        <v>277</v>
      </c>
      <c r="Y113" s="430" t="str">
        <f t="shared" si="2"/>
        <v/>
      </c>
    </row>
    <row r="114" spans="1:25" ht="16.5" thickBot="1">
      <c r="A114" s="83" t="s">
        <v>276</v>
      </c>
      <c r="C114" s="142"/>
      <c r="D114" s="143"/>
      <c r="I114" s="82" t="s">
        <v>395</v>
      </c>
      <c r="J114" s="188" t="s">
        <v>179</v>
      </c>
      <c r="K114" s="253" t="s">
        <v>179</v>
      </c>
      <c r="L114" s="83" t="s">
        <v>397</v>
      </c>
      <c r="M114" s="254" t="s">
        <v>450</v>
      </c>
      <c r="O114" s="3"/>
      <c r="P114" s="3"/>
      <c r="Q114" s="3"/>
      <c r="R114" s="3"/>
      <c r="S114" s="377" t="s">
        <v>1212</v>
      </c>
      <c r="T114" s="378" t="s">
        <v>1213</v>
      </c>
      <c r="U114" s="378" t="s">
        <v>1213</v>
      </c>
      <c r="V114" s="379" t="s">
        <v>655</v>
      </c>
      <c r="W114" s="380" t="s">
        <v>852</v>
      </c>
      <c r="X114" s="381" t="s">
        <v>302</v>
      </c>
      <c r="Y114" s="430" t="str">
        <f t="shared" si="2"/>
        <v/>
      </c>
    </row>
    <row r="115" spans="1:25" ht="16.5" thickTop="1">
      <c r="A115" s="83" t="s">
        <v>284</v>
      </c>
      <c r="C115" s="135" t="s">
        <v>164</v>
      </c>
      <c r="D115" s="136"/>
      <c r="I115" s="82" t="s">
        <v>396</v>
      </c>
      <c r="J115" s="188" t="s">
        <v>179</v>
      </c>
      <c r="K115" s="253" t="s">
        <v>179</v>
      </c>
      <c r="L115" s="83" t="s">
        <v>398</v>
      </c>
      <c r="M115" s="254" t="s">
        <v>451</v>
      </c>
      <c r="O115" s="3"/>
      <c r="P115" s="3"/>
      <c r="Q115" s="3"/>
      <c r="R115" s="3"/>
      <c r="S115" s="377" t="s">
        <v>1140</v>
      </c>
      <c r="T115" s="378" t="s">
        <v>1350</v>
      </c>
      <c r="U115" s="378" t="s">
        <v>1350</v>
      </c>
      <c r="V115" s="379" t="s">
        <v>663</v>
      </c>
      <c r="W115" s="380" t="s">
        <v>861</v>
      </c>
      <c r="X115" s="381" t="s">
        <v>974</v>
      </c>
      <c r="Y115" s="430" t="str">
        <f t="shared" si="2"/>
        <v/>
      </c>
    </row>
    <row r="116" spans="1:25" ht="15.75">
      <c r="A116" s="83" t="s">
        <v>219</v>
      </c>
      <c r="C116" s="50" t="e">
        <f>+IF(AND(#REF!&lt;&gt;"",#REF!&lt;=#REF!),MID(#REF!,1,(SEARCH(" ",#REF!,(SEARCH(" ",#REF!,1))))))</f>
        <v>#REF!</v>
      </c>
      <c r="D116" s="51" t="e">
        <f>+IF(AND(#REF!&lt;&gt;"",#REF!&lt;=#REF!),MID(#REF!,1,(SEARCH(" ",#REF!,(SEARCH(" ",#REF!,1))))))</f>
        <v>#REF!</v>
      </c>
      <c r="I116" s="82" t="s">
        <v>400</v>
      </c>
      <c r="J116" s="188" t="s">
        <v>179</v>
      </c>
      <c r="K116" s="253" t="s">
        <v>179</v>
      </c>
      <c r="L116" s="83" t="s">
        <v>399</v>
      </c>
      <c r="M116" s="254" t="s">
        <v>452</v>
      </c>
      <c r="O116" s="3"/>
      <c r="P116" s="3"/>
      <c r="Q116" s="3"/>
      <c r="R116" s="3"/>
      <c r="S116" s="377" t="s">
        <v>1142</v>
      </c>
      <c r="T116" s="378" t="s">
        <v>1339</v>
      </c>
      <c r="U116" s="378" t="s">
        <v>1339</v>
      </c>
      <c r="V116" s="379" t="s">
        <v>629</v>
      </c>
      <c r="W116" s="380" t="s">
        <v>824</v>
      </c>
      <c r="X116" s="381"/>
      <c r="Y116" s="430" t="str">
        <f t="shared" si="2"/>
        <v/>
      </c>
    </row>
    <row r="117" spans="1:25" ht="15.75">
      <c r="A117" s="177" t="s">
        <v>273</v>
      </c>
      <c r="C117" s="52" t="e">
        <f>IF(AND(#REF!&lt;&gt;"",#REF!&lt;=#REF!),MID(#REF!,1,(SEARCH(" ",#REF!,(SEARCH(" ",#REF!,1))))))</f>
        <v>#REF!</v>
      </c>
      <c r="D117" s="53" t="e">
        <f>+IF(AND(#REF!&lt;&gt;"",#REF!&lt;=#REF!),MID(#REF!,(C108+1),(LEN(#REF!)-C108)))</f>
        <v>#REF!</v>
      </c>
      <c r="I117" s="82" t="s">
        <v>459</v>
      </c>
      <c r="J117" s="188" t="s">
        <v>169</v>
      </c>
      <c r="K117" s="253" t="s">
        <v>169</v>
      </c>
      <c r="L117" s="83" t="s">
        <v>460</v>
      </c>
      <c r="M117" s="254" t="s">
        <v>462</v>
      </c>
      <c r="S117" s="377" t="s">
        <v>1054</v>
      </c>
      <c r="T117" s="378" t="s">
        <v>1054</v>
      </c>
      <c r="U117" s="378" t="s">
        <v>1054</v>
      </c>
      <c r="V117" s="379" t="s">
        <v>517</v>
      </c>
      <c r="W117" s="380" t="s">
        <v>713</v>
      </c>
      <c r="X117" s="381" t="s">
        <v>321</v>
      </c>
      <c r="Y117" s="430" t="str">
        <f t="shared" si="2"/>
        <v/>
      </c>
    </row>
    <row r="118" spans="1:25" ht="15.75">
      <c r="A118" s="83" t="s">
        <v>340</v>
      </c>
      <c r="C118" s="134" t="e">
        <f>IF(AND(#REF!&lt;&gt;"",#REF!&lt;=#REF!),MID(#REF!,(JULIE+1),(LEN(#REF!)-JULIE)))</f>
        <v>#REF!</v>
      </c>
      <c r="D118" s="175" t="e">
        <f>IF(#REF!="mme",CONCATENATE(C116,"/",C117),BOA)</f>
        <v>#REF!</v>
      </c>
      <c r="E118" s="1" t="s">
        <v>1382</v>
      </c>
      <c r="I118" s="82" t="s">
        <v>458</v>
      </c>
      <c r="J118" s="188" t="s">
        <v>169</v>
      </c>
      <c r="K118" s="253" t="s">
        <v>169</v>
      </c>
      <c r="L118" s="83" t="s">
        <v>327</v>
      </c>
      <c r="M118" s="302" t="s">
        <v>461</v>
      </c>
      <c r="S118" s="377" t="s">
        <v>1229</v>
      </c>
      <c r="T118" s="378" t="s">
        <v>1229</v>
      </c>
      <c r="U118" s="378" t="s">
        <v>1229</v>
      </c>
      <c r="V118" s="379" t="s">
        <v>611</v>
      </c>
      <c r="W118" s="380" t="s">
        <v>807</v>
      </c>
      <c r="X118" s="381" t="s">
        <v>985</v>
      </c>
      <c r="Y118" s="430" t="str">
        <f t="shared" si="2"/>
        <v/>
      </c>
    </row>
    <row r="119" spans="1:25" ht="16.5" thickBot="1">
      <c r="A119" s="83" t="s">
        <v>321</v>
      </c>
      <c r="C119" s="134" t="e">
        <f>+IF(AND(#REF!&lt;&gt;"",#REF!&lt;=#REF!),MID(#REF!,1,(SEARCH(" ",#REF!,(SEARCH(" ",#REF!,1))))))</f>
        <v>#REF!</v>
      </c>
      <c r="D119" s="134" t="e">
        <f>+IF(#REF!="mme",CONCATENATE(C119,"/",D116),D116)</f>
        <v>#REF!</v>
      </c>
      <c r="E119" s="1" t="s">
        <v>1381</v>
      </c>
      <c r="I119" s="82" t="s">
        <v>492</v>
      </c>
      <c r="J119" s="188" t="s">
        <v>174</v>
      </c>
      <c r="K119" s="253" t="s">
        <v>174</v>
      </c>
      <c r="L119" s="83" t="s">
        <v>308</v>
      </c>
      <c r="M119" s="302" t="s">
        <v>494</v>
      </c>
      <c r="S119" s="377" t="s">
        <v>1087</v>
      </c>
      <c r="T119" s="378" t="s">
        <v>1312</v>
      </c>
      <c r="U119" s="378" t="s">
        <v>1312</v>
      </c>
      <c r="V119" s="379" t="s">
        <v>571</v>
      </c>
      <c r="W119" s="380" t="s">
        <v>767</v>
      </c>
      <c r="X119" s="381" t="s">
        <v>272</v>
      </c>
      <c r="Y119" s="430" t="str">
        <f t="shared" si="2"/>
        <v/>
      </c>
    </row>
    <row r="120" spans="1:25" ht="15.75">
      <c r="A120" s="83" t="s">
        <v>272</v>
      </c>
      <c r="C120" s="539" t="s">
        <v>147</v>
      </c>
      <c r="D120" s="540"/>
      <c r="I120" s="82" t="s">
        <v>493</v>
      </c>
      <c r="J120" s="188" t="s">
        <v>174</v>
      </c>
      <c r="K120" s="253" t="s">
        <v>174</v>
      </c>
      <c r="L120" s="83" t="s">
        <v>489</v>
      </c>
      <c r="M120" s="302" t="s">
        <v>496</v>
      </c>
      <c r="S120" s="377" t="s">
        <v>1143</v>
      </c>
      <c r="T120" s="378" t="s">
        <v>1143</v>
      </c>
      <c r="U120" s="378" t="s">
        <v>1143</v>
      </c>
      <c r="V120" s="379" t="s">
        <v>541</v>
      </c>
      <c r="W120" s="380" t="s">
        <v>737</v>
      </c>
      <c r="X120" s="381" t="s">
        <v>984</v>
      </c>
      <c r="Y120" s="430" t="str">
        <f t="shared" si="2"/>
        <v/>
      </c>
    </row>
    <row r="121" spans="1:25" ht="15.75">
      <c r="A121" s="83" t="s">
        <v>354</v>
      </c>
      <c r="C121" s="126" t="e">
        <f>+IF(OR(COUNTIF(#REF!,"COMPTE EPARGNE PRIVE+BSMS")=1,COUNTIF(#REF!,"COMPTE EPARGNE PUBLIQUE+BSMS")=1,COUNTIF(#REF!,"COMPTE CHEQUE+BSMS")=1),1,IF(OR(COUNTIF(#REF!,"COMPTE EPARGNE PUBLIQUE+SESAME")=1,COUNTIF(#REF!,"COMPTE EPARGNE PRIVE+SESAME")=1,COUNTIF(#REF!,"COMPTE CHEQUE+SESAME")=1),2,IF(OR(COUNTIF(#REF!,"*COMPTE EPARGNE PRIVE+BSMS+SESAME*")=1,COUNTIF(#REF!,"*COMPTE EPARGNE PUBLIQUE+BSMS+SESAME*")=1,COUNTIF(#REF!,"*COMPTE CHEQUE+BSMS+SESAME*")=1),3,IF(COUNTIF(#REF!,"BSMS"),4,IF(COUNTIF(#REF!,"SESAME"),5,IF(COUNTIF(#REF!,"*BSMS+SESAME*"),6,""))))))</f>
        <v>#REF!</v>
      </c>
      <c r="D121" s="127" t="e">
        <f>+IF(AND(COUNTIF(#REF!,"*ANCIEN CLIENT PACK*")=1,OR(COUNTIF(#REF!,"COMPTE EPARGNE PRIVE+BSMS")=1,COUNTIF(#REF!,"COMPTE EPARGNE PUBLIQUE+BSMS")=1,COUNTIF(#REF!,"COMPTE CHEQUE+BSMS")=1)),7,IF(AND(OR(COUNTIF(#REF!,"COMPTE EPARGNE PUBLIQUE+SESAME")=1,COUNTIF(#REF!,"COMPTE EPARGNE PRIVE+SESAME")=1,COUNTIF(#REF!,"COMPTE CHEQUE+SESAME")=1),COUNTIF(#REF!,"*ANCIEN CLIENT PACK*")),8,IF(AND(OR(COUNTIF(#REF!,"COMPTE EPARGNE PUBLIQUE+BSMS+SESAME")=1,COUNTIF(#REF!,"COMPTE EPARGNE PRIVE+BSMS+SESAME")=1,COUNTIF(#REF!,"COMPTE CHEQUE+BSMS+SESAME")=1),COUNTIF(#REF!,"*ANCIEN CLIENT PACK*")),9,"")))</f>
        <v>#REF!</v>
      </c>
      <c r="F121" s="6"/>
      <c r="I121" s="82" t="s">
        <v>1392</v>
      </c>
      <c r="J121" s="188" t="s">
        <v>171</v>
      </c>
      <c r="K121" s="253" t="s">
        <v>171</v>
      </c>
      <c r="L121" s="83" t="s">
        <v>1393</v>
      </c>
      <c r="M121" s="302" t="s">
        <v>1394</v>
      </c>
      <c r="S121" s="377" t="s">
        <v>1238</v>
      </c>
      <c r="T121" s="377" t="s">
        <v>1239</v>
      </c>
      <c r="U121" s="377" t="s">
        <v>1239</v>
      </c>
      <c r="V121" s="379" t="s">
        <v>668</v>
      </c>
      <c r="W121" s="380" t="s">
        <v>866</v>
      </c>
      <c r="X121" s="381" t="s">
        <v>982</v>
      </c>
      <c r="Y121" s="430" t="str">
        <f t="shared" si="2"/>
        <v/>
      </c>
    </row>
    <row r="122" spans="1:25" ht="15.75">
      <c r="A122" s="83" t="s">
        <v>275</v>
      </c>
      <c r="C122" s="150" t="e">
        <f>IF(COUNTIF(#REF!,"*PACK*")&lt;&gt;1,C121,"")</f>
        <v>#REF!</v>
      </c>
      <c r="D122" s="149" t="e">
        <f>+IF(D121&lt;&gt;"",D121,C122)</f>
        <v>#REF!</v>
      </c>
      <c r="F122" s="6"/>
      <c r="G122" s="1" t="s">
        <v>6</v>
      </c>
      <c r="I122" s="82" t="s">
        <v>1395</v>
      </c>
      <c r="J122" s="188" t="s">
        <v>171</v>
      </c>
      <c r="K122" s="253" t="s">
        <v>171</v>
      </c>
      <c r="L122" s="83" t="s">
        <v>1396</v>
      </c>
      <c r="M122" s="302" t="s">
        <v>1397</v>
      </c>
      <c r="S122" s="475" t="s">
        <v>1163</v>
      </c>
      <c r="T122" s="476" t="s">
        <v>1164</v>
      </c>
      <c r="U122" s="476" t="s">
        <v>1164</v>
      </c>
      <c r="V122" s="477" t="s">
        <v>564</v>
      </c>
      <c r="W122" s="380" t="s">
        <v>760</v>
      </c>
      <c r="X122" s="381" t="s">
        <v>1020</v>
      </c>
      <c r="Y122" s="430" t="str">
        <f t="shared" si="2"/>
        <v/>
      </c>
    </row>
    <row r="123" spans="1:25" ht="15.75">
      <c r="A123" s="83" t="s">
        <v>277</v>
      </c>
      <c r="C123" s="148" t="s">
        <v>6</v>
      </c>
      <c r="D123" s="148"/>
      <c r="F123" s="6"/>
      <c r="I123" s="82" t="s">
        <v>1398</v>
      </c>
      <c r="J123" s="188" t="s">
        <v>171</v>
      </c>
      <c r="K123" s="253" t="s">
        <v>171</v>
      </c>
      <c r="L123" s="83" t="s">
        <v>1033</v>
      </c>
      <c r="M123" s="302" t="s">
        <v>1399</v>
      </c>
      <c r="S123" s="377" t="s">
        <v>1118</v>
      </c>
      <c r="T123" s="378" t="s">
        <v>1230</v>
      </c>
      <c r="U123" s="378" t="s">
        <v>1230</v>
      </c>
      <c r="V123" s="379" t="s">
        <v>641</v>
      </c>
      <c r="W123" s="380" t="s">
        <v>838</v>
      </c>
      <c r="X123" s="381" t="s">
        <v>979</v>
      </c>
      <c r="Y123" s="430" t="str">
        <f t="shared" si="2"/>
        <v/>
      </c>
    </row>
    <row r="124" spans="1:25" ht="17.25">
      <c r="A124" s="83" t="s">
        <v>349</v>
      </c>
      <c r="C124" s="140" t="s">
        <v>6</v>
      </c>
      <c r="D124" s="141" t="s">
        <v>6</v>
      </c>
      <c r="F124" s="6"/>
      <c r="S124" s="377" t="s">
        <v>1269</v>
      </c>
      <c r="T124" s="378" t="s">
        <v>1270</v>
      </c>
      <c r="U124" s="378" t="s">
        <v>1270</v>
      </c>
      <c r="V124" s="379" t="s">
        <v>548</v>
      </c>
      <c r="W124" s="380" t="s">
        <v>744</v>
      </c>
      <c r="X124" s="381" t="s">
        <v>973</v>
      </c>
      <c r="Y124" s="430" t="str">
        <f t="shared" si="2"/>
        <v/>
      </c>
    </row>
    <row r="125" spans="1:25" ht="18" thickBot="1">
      <c r="A125" s="83" t="s">
        <v>239</v>
      </c>
      <c r="C125" s="263"/>
      <c r="D125" s="108" t="e">
        <f>+IF(AND(#REF!&lt;&gt;"",#REF!&lt;=#REF!,LEFT(#REF!,1)="P"),CONCATENATE(#REF!,"/",RIGHT(C127,2)),IF(AND(#REF!&lt;&gt;"",#REF!&lt;=#REF!,LEFT(#REF!,1)="A"),CONCATENATE(#REF!,"/",RIGHT(#REF!,2)),IF(#REF!="SND 2 COMPTES CH-CL",CONCATENATE(#REF!,"/",RIGHT(C127,2)),#REF!)))</f>
        <v>#REF!</v>
      </c>
      <c r="F125" s="6"/>
      <c r="S125" s="382" t="s">
        <v>1369</v>
      </c>
      <c r="T125" s="379" t="s">
        <v>1370</v>
      </c>
      <c r="U125" s="379" t="s">
        <v>1370</v>
      </c>
      <c r="V125" s="379" t="s">
        <v>601</v>
      </c>
      <c r="W125" s="380" t="s">
        <v>797</v>
      </c>
      <c r="X125" s="381" t="s">
        <v>983</v>
      </c>
      <c r="Y125" s="430" t="str">
        <f t="shared" si="2"/>
        <v/>
      </c>
    </row>
    <row r="126" spans="1:25" ht="18" thickBot="1">
      <c r="A126" s="83" t="s">
        <v>279</v>
      </c>
      <c r="C126" s="531" t="s">
        <v>78</v>
      </c>
      <c r="D126" s="532"/>
      <c r="S126" s="377" t="s">
        <v>1116</v>
      </c>
      <c r="T126" s="378" t="s">
        <v>1341</v>
      </c>
      <c r="U126" s="378" t="s">
        <v>1341</v>
      </c>
      <c r="V126" s="379" t="s">
        <v>639</v>
      </c>
      <c r="W126" s="380" t="s">
        <v>836</v>
      </c>
      <c r="X126" s="381" t="s">
        <v>980</v>
      </c>
      <c r="Y126" s="430" t="str">
        <f t="shared" si="2"/>
        <v/>
      </c>
    </row>
    <row r="127" spans="1:25" ht="18.75">
      <c r="A127" s="83" t="s">
        <v>261</v>
      </c>
      <c r="C127" s="533" t="e">
        <f>IF(RIGHT(#REF!,1)="0",REPLACE(#REF!,11,2,"13"),IF(RIGHT(#REF!,1)="1",REPLACE(#REF!,11,2,"14"),IF(RIGHT(#REF!,1)="2",REPLACE(#REF!,11,2,"15"),IF(RIGHT(#REF!,1)="3",REPLACE(#REF!,11,2,"16"),IF(RIGHT(#REF!,1)="4",REPLACE(#REF!,11,2,"17"),IF(RIGHT(#REF!,1)="5",REPLACE(#REF!,11,2,"18"),IF(RIGHT(#REF!,1)="6",REPLACE(#REF!,11,2,"19"),IF(RIGHT(#REF!,1)="7",REPLACE(#REF!,11,2,"10"),IF(RIGHT(#REF!,1)="8",REPLACE(#REF!,11,2,"11"),IF(RIGHT(#REF!,1)="9",REPLACE(#REF!,11,2,"12"),""))))))))))</f>
        <v>#REF!</v>
      </c>
      <c r="D127" s="534"/>
      <c r="S127" s="475" t="s">
        <v>1050</v>
      </c>
      <c r="T127" s="476" t="s">
        <v>1050</v>
      </c>
      <c r="U127" s="476" t="s">
        <v>1050</v>
      </c>
      <c r="V127" s="477" t="s">
        <v>511</v>
      </c>
      <c r="W127" s="380" t="s">
        <v>707</v>
      </c>
      <c r="X127" s="381" t="s">
        <v>1009</v>
      </c>
      <c r="Y127" s="430" t="str">
        <f t="shared" si="2"/>
        <v/>
      </c>
    </row>
    <row r="128" spans="1:25" ht="15.75">
      <c r="A128" s="83" t="s">
        <v>271</v>
      </c>
      <c r="C128" s="54" t="s">
        <v>6</v>
      </c>
      <c r="D128" s="6" t="s">
        <v>6</v>
      </c>
      <c r="F128" s="1" t="s">
        <v>6</v>
      </c>
      <c r="S128" s="377" t="s">
        <v>1252</v>
      </c>
      <c r="T128" s="378" t="s">
        <v>1253</v>
      </c>
      <c r="U128" s="378" t="s">
        <v>1253</v>
      </c>
      <c r="V128" s="379" t="s">
        <v>675</v>
      </c>
      <c r="W128" s="380" t="s">
        <v>873</v>
      </c>
      <c r="X128" s="381" t="s">
        <v>978</v>
      </c>
      <c r="Y128" s="430" t="str">
        <f t="shared" si="2"/>
        <v/>
      </c>
    </row>
    <row r="129" spans="1:25" ht="15.75">
      <c r="A129" s="83" t="s">
        <v>374</v>
      </c>
      <c r="C129" s="535" t="s">
        <v>79</v>
      </c>
      <c r="D129" s="536"/>
      <c r="S129" s="377" t="s">
        <v>1268</v>
      </c>
      <c r="T129" s="378" t="s">
        <v>1268</v>
      </c>
      <c r="U129" s="378" t="s">
        <v>1268</v>
      </c>
      <c r="V129" s="379" t="s">
        <v>538</v>
      </c>
      <c r="W129" s="380" t="s">
        <v>734</v>
      </c>
      <c r="X129" s="381" t="s">
        <v>976</v>
      </c>
      <c r="Y129" s="430" t="str">
        <f t="shared" si="2"/>
        <v/>
      </c>
    </row>
    <row r="130" spans="1:25" ht="17.25">
      <c r="A130" s="83" t="s">
        <v>379</v>
      </c>
      <c r="C130" s="541" t="e">
        <f t="array" ref="C130">INDEX($K$5:$K$30,MAX(($K$5:$K$30&lt;&gt;"")*ROW($1:$26)))</f>
        <v>#REF!</v>
      </c>
      <c r="D130" s="542"/>
      <c r="S130" s="475" t="s">
        <v>1076</v>
      </c>
      <c r="T130" s="476" t="s">
        <v>975</v>
      </c>
      <c r="U130" s="476" t="s">
        <v>1076</v>
      </c>
      <c r="V130" s="477" t="s">
        <v>9</v>
      </c>
      <c r="W130" s="380" t="s">
        <v>755</v>
      </c>
      <c r="X130" s="381" t="s">
        <v>975</v>
      </c>
      <c r="Y130" s="430" t="str">
        <f t="shared" si="2"/>
        <v/>
      </c>
    </row>
    <row r="131" spans="1:25" ht="17.25">
      <c r="A131" s="83" t="s">
        <v>240</v>
      </c>
      <c r="C131" s="264"/>
      <c r="D131" s="264"/>
      <c r="S131" s="377" t="s">
        <v>1094</v>
      </c>
      <c r="T131" s="378" t="s">
        <v>1319</v>
      </c>
      <c r="U131" s="378" t="s">
        <v>1319</v>
      </c>
      <c r="V131" s="379" t="s">
        <v>580</v>
      </c>
      <c r="W131" s="380" t="s">
        <v>777</v>
      </c>
      <c r="X131" s="381" t="s">
        <v>977</v>
      </c>
      <c r="Y131" s="430" t="str">
        <f t="shared" si="2"/>
        <v/>
      </c>
    </row>
    <row r="132" spans="1:25" ht="15.75">
      <c r="A132" s="83" t="s">
        <v>240</v>
      </c>
      <c r="C132" s="54" t="s">
        <v>6</v>
      </c>
      <c r="D132" s="6"/>
      <c r="S132" s="377" t="s">
        <v>1379</v>
      </c>
      <c r="T132" s="378" t="s">
        <v>1379</v>
      </c>
      <c r="U132" s="378" t="s">
        <v>1379</v>
      </c>
      <c r="V132" s="379" t="s">
        <v>691</v>
      </c>
      <c r="W132" s="380" t="s">
        <v>889</v>
      </c>
      <c r="X132" s="381"/>
      <c r="Y132" s="430" t="str">
        <f t="shared" si="2"/>
        <v/>
      </c>
    </row>
    <row r="133" spans="1:25" ht="17.25">
      <c r="A133" s="83" t="s">
        <v>328</v>
      </c>
      <c r="C133" s="7" t="s">
        <v>12</v>
      </c>
      <c r="D133" s="8">
        <v>26084</v>
      </c>
      <c r="S133" s="377" t="s">
        <v>1144</v>
      </c>
      <c r="T133" s="378" t="s">
        <v>1355</v>
      </c>
      <c r="U133" s="378" t="s">
        <v>1355</v>
      </c>
      <c r="V133" s="379" t="s">
        <v>672</v>
      </c>
      <c r="W133" s="380" t="s">
        <v>870</v>
      </c>
      <c r="X133" s="381" t="s">
        <v>903</v>
      </c>
      <c r="Y133" s="430" t="str">
        <f t="shared" si="2"/>
        <v/>
      </c>
    </row>
    <row r="134" spans="1:25" ht="17.25">
      <c r="A134" s="83" t="s">
        <v>265</v>
      </c>
      <c r="C134" s="146" t="str">
        <f>CONCATENATE(0,,D134)</f>
        <v>0</v>
      </c>
      <c r="D134" s="68" t="str">
        <f>+IF(ISERROR(VLOOKUP(C130,I5:J26,1,0)),"",VLOOKUP(C130,I5:J26,2,0))</f>
        <v/>
      </c>
      <c r="S134" s="377" t="s">
        <v>1089</v>
      </c>
      <c r="T134" s="378" t="s">
        <v>1314</v>
      </c>
      <c r="U134" s="378" t="s">
        <v>1314</v>
      </c>
      <c r="V134" s="379" t="s">
        <v>573</v>
      </c>
      <c r="W134" s="380" t="s">
        <v>769</v>
      </c>
      <c r="X134" s="381" t="s">
        <v>992</v>
      </c>
      <c r="Y134" s="430" t="str">
        <f t="shared" si="2"/>
        <v/>
      </c>
    </row>
    <row r="135" spans="1:25" ht="17.25">
      <c r="A135" s="179" t="s">
        <v>255</v>
      </c>
      <c r="C135" s="9" t="s">
        <v>6</v>
      </c>
      <c r="D135" s="10"/>
      <c r="F135" s="1" t="s">
        <v>6</v>
      </c>
      <c r="S135" s="377" t="s">
        <v>1109</v>
      </c>
      <c r="T135" s="378" t="s">
        <v>1332</v>
      </c>
      <c r="U135" s="378" t="s">
        <v>1332</v>
      </c>
      <c r="V135" s="379" t="s">
        <v>605</v>
      </c>
      <c r="W135" s="380" t="s">
        <v>801</v>
      </c>
      <c r="X135" s="381" t="s">
        <v>986</v>
      </c>
      <c r="Y135" s="430" t="str">
        <f t="shared" si="2"/>
        <v/>
      </c>
    </row>
    <row r="136" spans="1:25" ht="17.25">
      <c r="A136" s="83" t="s">
        <v>262</v>
      </c>
      <c r="C136" s="11"/>
      <c r="D136" s="12"/>
      <c r="S136" s="377" t="s">
        <v>1223</v>
      </c>
      <c r="T136" s="378" t="s">
        <v>1224</v>
      </c>
      <c r="U136" s="378" t="s">
        <v>1224</v>
      </c>
      <c r="V136" s="379" t="s">
        <v>549</v>
      </c>
      <c r="W136" s="380" t="s">
        <v>745</v>
      </c>
      <c r="X136" s="381"/>
      <c r="Y136" s="430" t="str">
        <f t="shared" si="2"/>
        <v/>
      </c>
    </row>
    <row r="137" spans="1:25" ht="17.25">
      <c r="A137" s="83" t="s">
        <v>361</v>
      </c>
      <c r="C137" s="11" t="s">
        <v>142</v>
      </c>
      <c r="D137" s="119" t="e">
        <f>+((97-((D133*89)+(D134*15)+(3*#REF!)))-97*INT((97-((D133*89)+(D134*15)+(3*#REF!)))/97))</f>
        <v>#VALUE!</v>
      </c>
      <c r="F137" s="1" t="s">
        <v>6</v>
      </c>
      <c r="S137" s="475" t="s">
        <v>1367</v>
      </c>
      <c r="T137" s="476" t="s">
        <v>1368</v>
      </c>
      <c r="U137" s="476" t="s">
        <v>1368</v>
      </c>
      <c r="V137" s="477" t="s">
        <v>561</v>
      </c>
      <c r="W137" s="380" t="s">
        <v>758</v>
      </c>
      <c r="X137" s="381" t="s">
        <v>997</v>
      </c>
      <c r="Y137" s="430" t="str">
        <f t="shared" si="2"/>
        <v/>
      </c>
    </row>
    <row r="138" spans="1:25" ht="18.75">
      <c r="A138" s="83" t="s">
        <v>243</v>
      </c>
      <c r="C138" s="13" t="s">
        <v>64</v>
      </c>
      <c r="D138" s="118" t="e">
        <f t="array" ref="D138">INDEX($L5:$L$26,MAX(($L$5:$L$30&lt;&gt;"")*ROW($1:$26)))</f>
        <v>#VALUE!</v>
      </c>
      <c r="S138" s="377" t="s">
        <v>1090</v>
      </c>
      <c r="T138" s="378" t="s">
        <v>1315</v>
      </c>
      <c r="U138" s="378" t="s">
        <v>1315</v>
      </c>
      <c r="V138" s="379" t="s">
        <v>574</v>
      </c>
      <c r="W138" s="380" t="s">
        <v>770</v>
      </c>
      <c r="X138" s="381" t="s">
        <v>988</v>
      </c>
      <c r="Y138" s="430" t="str">
        <f t="shared" si="2"/>
        <v/>
      </c>
    </row>
    <row r="139" spans="1:25" ht="18.75">
      <c r="A139" s="83" t="s">
        <v>345</v>
      </c>
      <c r="C139" s="211" t="s">
        <v>6</v>
      </c>
      <c r="D139" s="14" t="s">
        <v>6</v>
      </c>
      <c r="S139" s="377" t="s">
        <v>1225</v>
      </c>
      <c r="T139" s="378" t="s">
        <v>1295</v>
      </c>
      <c r="U139" s="378" t="s">
        <v>1295</v>
      </c>
      <c r="V139" s="379" t="s">
        <v>551</v>
      </c>
      <c r="W139" s="380" t="s">
        <v>747</v>
      </c>
      <c r="X139" s="381"/>
      <c r="Y139" s="430" t="str">
        <f t="shared" si="2"/>
        <v/>
      </c>
    </row>
    <row r="140" spans="1:25" ht="16.5" thickBot="1">
      <c r="A140" s="177" t="s">
        <v>345</v>
      </c>
      <c r="C140" s="5"/>
      <c r="D140" s="15" t="s">
        <v>6</v>
      </c>
      <c r="S140" s="377" t="s">
        <v>1117</v>
      </c>
      <c r="T140" s="378" t="s">
        <v>1342</v>
      </c>
      <c r="U140" s="378" t="s">
        <v>1342</v>
      </c>
      <c r="V140" s="379" t="s">
        <v>640</v>
      </c>
      <c r="W140" s="380" t="s">
        <v>837</v>
      </c>
      <c r="X140" s="381" t="s">
        <v>349</v>
      </c>
      <c r="Y140" s="430" t="str">
        <f t="shared" si="2"/>
        <v/>
      </c>
    </row>
    <row r="141" spans="1:25" ht="16.5" thickBot="1">
      <c r="A141" s="177" t="s">
        <v>367</v>
      </c>
      <c r="C141" s="16" t="s">
        <v>0</v>
      </c>
      <c r="D141" s="16" t="s">
        <v>66</v>
      </c>
      <c r="S141" s="377" t="s">
        <v>1134</v>
      </c>
      <c r="T141" s="378" t="s">
        <v>1358</v>
      </c>
      <c r="U141" s="378" t="s">
        <v>1358</v>
      </c>
      <c r="V141" s="379" t="s">
        <v>679</v>
      </c>
      <c r="W141" s="380" t="s">
        <v>877</v>
      </c>
      <c r="X141" s="381" t="s">
        <v>993</v>
      </c>
      <c r="Y141" s="430" t="str">
        <f t="shared" si="2"/>
        <v/>
      </c>
    </row>
    <row r="142" spans="1:25" ht="18" thickBot="1">
      <c r="A142" s="83" t="s">
        <v>244</v>
      </c>
      <c r="C142" s="17">
        <v>41122</v>
      </c>
      <c r="D142" s="18" t="e">
        <f>IF(OR(TEXT(C142,"jj")&gt;="26",#REF!&lt;&gt;""),TEXT(EDATE(TEXT(C142,"mmmm aaaa"),1),"mmmm aaaa"),TEXT(C142,"mmmm aaaa"))</f>
        <v>#REF!</v>
      </c>
      <c r="S142" s="377" t="s">
        <v>1145</v>
      </c>
      <c r="T142" s="378" t="s">
        <v>1145</v>
      </c>
      <c r="U142" s="378" t="s">
        <v>1145</v>
      </c>
      <c r="V142" s="379" t="s">
        <v>646</v>
      </c>
      <c r="W142" s="380" t="s">
        <v>843</v>
      </c>
      <c r="X142" s="381" t="s">
        <v>998</v>
      </c>
      <c r="Y142" s="430" t="str">
        <f t="shared" si="2"/>
        <v/>
      </c>
    </row>
    <row r="143" spans="1:25" ht="15.75">
      <c r="A143" s="83" t="s">
        <v>348</v>
      </c>
      <c r="C143" s="6"/>
      <c r="S143" s="377" t="s">
        <v>1115</v>
      </c>
      <c r="T143" s="378" t="s">
        <v>1340</v>
      </c>
      <c r="U143" s="378" t="s">
        <v>1340</v>
      </c>
      <c r="V143" s="379" t="s">
        <v>633</v>
      </c>
      <c r="W143" s="380" t="s">
        <v>829</v>
      </c>
      <c r="X143" s="381" t="s">
        <v>994</v>
      </c>
      <c r="Y143" s="430" t="str">
        <f t="shared" si="2"/>
        <v/>
      </c>
    </row>
    <row r="144" spans="1:25" ht="15.75">
      <c r="A144" s="83" t="s">
        <v>333</v>
      </c>
      <c r="C144" s="6" t="s">
        <v>6</v>
      </c>
      <c r="S144" s="377" t="s">
        <v>1146</v>
      </c>
      <c r="T144" s="378" t="s">
        <v>1147</v>
      </c>
      <c r="U144" s="378" t="s">
        <v>1147</v>
      </c>
      <c r="V144" s="379" t="s">
        <v>596</v>
      </c>
      <c r="W144" s="380" t="s">
        <v>793</v>
      </c>
      <c r="X144" s="381" t="s">
        <v>904</v>
      </c>
      <c r="Y144" s="430" t="str">
        <f t="shared" si="2"/>
        <v/>
      </c>
    </row>
    <row r="145" spans="1:25" s="6" customFormat="1" ht="19.5">
      <c r="A145" s="83" t="s">
        <v>380</v>
      </c>
      <c r="C145" s="543" t="s">
        <v>140</v>
      </c>
      <c r="D145" s="543"/>
      <c r="H145" s="69"/>
      <c r="M145" s="218"/>
      <c r="S145" s="475" t="s">
        <v>1092</v>
      </c>
      <c r="T145" s="476" t="s">
        <v>1387</v>
      </c>
      <c r="U145" s="476" t="s">
        <v>1387</v>
      </c>
      <c r="V145" s="477" t="s">
        <v>1149</v>
      </c>
      <c r="W145" s="380" t="s">
        <v>774</v>
      </c>
      <c r="X145" s="381" t="s">
        <v>989</v>
      </c>
      <c r="Y145" s="430" t="str">
        <f t="shared" si="2"/>
        <v/>
      </c>
    </row>
    <row r="146" spans="1:25" s="6" customFormat="1" ht="15.75">
      <c r="A146" s="83" t="s">
        <v>371</v>
      </c>
      <c r="C146" s="265" t="e">
        <f>IF(LEN(#REF!)&gt;=3,"X","")</f>
        <v>#REF!</v>
      </c>
      <c r="D146" s="265" t="e">
        <f>IF(AND(#REF!&lt;&gt;"",#REF!&lt;=#REF!),C146,"")</f>
        <v>#REF!</v>
      </c>
      <c r="H146" s="69"/>
      <c r="M146" s="218"/>
      <c r="S146" s="475" t="s">
        <v>1092</v>
      </c>
      <c r="T146" s="476" t="s">
        <v>2225</v>
      </c>
      <c r="U146" s="476" t="s">
        <v>1148</v>
      </c>
      <c r="V146" s="477" t="s">
        <v>578</v>
      </c>
      <c r="W146" s="380" t="s">
        <v>775</v>
      </c>
      <c r="X146" s="381" t="s">
        <v>987</v>
      </c>
      <c r="Y146" s="430" t="str">
        <f t="shared" si="2"/>
        <v/>
      </c>
    </row>
    <row r="147" spans="1:25" ht="15.75">
      <c r="A147" s="83" t="s">
        <v>337</v>
      </c>
      <c r="C147" s="265" t="e">
        <f>IF(OR(#REF!="2 PHOTOS",#REF!="2 PHOTOS+BULLETIN/CONTRAT",#REF!="BULLETIN/CONTRAT+2 PHOTOS"),"X","")</f>
        <v>#REF!</v>
      </c>
      <c r="D147" s="266" t="e">
        <f>IF(AND(#REF!&lt;&gt;"",#REF!&lt;=#REF!),C147,"")</f>
        <v>#REF!</v>
      </c>
      <c r="S147" s="391" t="s">
        <v>1135</v>
      </c>
      <c r="T147" s="392" t="s">
        <v>1359</v>
      </c>
      <c r="U147" s="392" t="s">
        <v>1359</v>
      </c>
      <c r="V147" s="393" t="s">
        <v>680</v>
      </c>
      <c r="W147" s="394" t="s">
        <v>878</v>
      </c>
      <c r="X147" s="395" t="s">
        <v>905</v>
      </c>
      <c r="Y147" s="430" t="str">
        <f t="shared" si="2"/>
        <v>DOUBLONS</v>
      </c>
    </row>
    <row r="148" spans="1:25" ht="15.75">
      <c r="A148" s="83" t="s">
        <v>257</v>
      </c>
      <c r="C148" s="265" t="e">
        <f>+IF(OR(#REF!="2 PHOTOS",#REF!="2 PHOTOS+BULLETIN/CONTRAT",#REF!="BULLETIN/CONTRAT+2 PHOTOS"),"X","")</f>
        <v>#REF!</v>
      </c>
      <c r="D148" s="266" t="e">
        <f>IF(AND(#REF!&lt;&gt;"",#REF!&lt;=#REF!),C148,"")</f>
        <v>#REF!</v>
      </c>
      <c r="S148" s="391" t="s">
        <v>1135</v>
      </c>
      <c r="T148" s="392" t="s">
        <v>1359</v>
      </c>
      <c r="U148" s="392" t="s">
        <v>1359</v>
      </c>
      <c r="V148" s="393" t="s">
        <v>681</v>
      </c>
      <c r="W148" s="394" t="s">
        <v>879</v>
      </c>
      <c r="X148" s="395" t="s">
        <v>906</v>
      </c>
      <c r="Y148" s="430" t="str">
        <f t="shared" si="2"/>
        <v/>
      </c>
    </row>
    <row r="149" spans="1:25" ht="15.75">
      <c r="A149" s="83" t="s">
        <v>352</v>
      </c>
      <c r="C149" s="265" t="e">
        <f>IF(OR(#REF!="NEANT",#REF!="",COUNTIF(#REF!,"*BP 00*")=1),"","X")</f>
        <v>#REF!</v>
      </c>
      <c r="D149" s="266" t="e">
        <f>IF(AND(#REF!&lt;&gt;"",#REF!&lt;=#REF!),C149,"")</f>
        <v>#REF!</v>
      </c>
      <c r="S149" s="377" t="s">
        <v>1150</v>
      </c>
      <c r="T149" s="378" t="s">
        <v>1151</v>
      </c>
      <c r="U149" s="378" t="s">
        <v>1151</v>
      </c>
      <c r="V149" s="379" t="s">
        <v>615</v>
      </c>
      <c r="W149" s="380" t="s">
        <v>811</v>
      </c>
      <c r="X149" s="381" t="s">
        <v>995</v>
      </c>
      <c r="Y149" s="430" t="str">
        <f t="shared" si="2"/>
        <v/>
      </c>
    </row>
    <row r="150" spans="1:25" ht="15.75">
      <c r="A150" s="83" t="s">
        <v>364</v>
      </c>
      <c r="C150" s="265" t="e">
        <f>IF(OR(LEFT(#REF!,6)="PACK S",LEFT(#REF!,8)="COMPTE C",#REF!="PACK FONXIONARIA",LEFT(#REF!,8)="COMPTE V",LEFT(#REF!,8)="COMPTE R"),"X","")</f>
        <v>#REF!</v>
      </c>
      <c r="D150" s="266" t="e">
        <f>IF(AND(#REF!&lt;&gt;"",#REF!&lt;=#REF!),C150,"")</f>
        <v>#REF!</v>
      </c>
      <c r="S150" s="377" t="s">
        <v>1067</v>
      </c>
      <c r="T150" s="378" t="s">
        <v>1067</v>
      </c>
      <c r="U150" s="378" t="s">
        <v>1067</v>
      </c>
      <c r="V150" s="379" t="s">
        <v>547</v>
      </c>
      <c r="W150" s="380" t="s">
        <v>743</v>
      </c>
      <c r="X150" s="381" t="s">
        <v>1024</v>
      </c>
      <c r="Y150" s="430" t="str">
        <f t="shared" si="2"/>
        <v/>
      </c>
    </row>
    <row r="151" spans="1:25" ht="15.75">
      <c r="A151" s="83" t="s">
        <v>245</v>
      </c>
      <c r="C151" s="267" t="e">
        <f>IF(#REF!&gt;=2500,"X","")</f>
        <v>#REF!</v>
      </c>
      <c r="D151" s="268" t="e">
        <f>IF(AND(#REF!&lt;&gt;"",#REF!&lt;=#REF!),C151,"")</f>
        <v>#REF!</v>
      </c>
      <c r="S151" s="377" t="s">
        <v>1111</v>
      </c>
      <c r="T151" s="378" t="s">
        <v>1335</v>
      </c>
      <c r="U151" s="378" t="s">
        <v>1335</v>
      </c>
      <c r="V151" s="379" t="s">
        <v>618</v>
      </c>
      <c r="W151" s="383">
        <v>448</v>
      </c>
      <c r="X151" s="381" t="s">
        <v>996</v>
      </c>
      <c r="Y151" s="430" t="str">
        <f t="shared" si="2"/>
        <v/>
      </c>
    </row>
    <row r="152" spans="1:25" ht="15.75">
      <c r="A152" s="83" t="s">
        <v>356</v>
      </c>
      <c r="C152" s="267" t="e">
        <f>IF(OR(COUNTIF(#REF!,"*ACTE DE NAISSANCE*")=1,COUNTIF(#REF!,"*BULLETIN*")=1,COUNTIF(#REF!,"*CONSULAIRE*")=1,COUNTIF(#REF!,"*ATTESTATION*")=1,COUNTIF(#REF!,"*SEJOUR*")=1),"X","")</f>
        <v>#REF!</v>
      </c>
      <c r="D152" s="268" t="e">
        <f>IF(AND(#REF!&lt;&gt;"",#REF!&lt;=#REF!),C152,"")</f>
        <v>#REF!</v>
      </c>
      <c r="S152" s="377" t="s">
        <v>1052</v>
      </c>
      <c r="T152" s="378" t="s">
        <v>1281</v>
      </c>
      <c r="U152" s="378" t="s">
        <v>1281</v>
      </c>
      <c r="V152" s="379" t="s">
        <v>513</v>
      </c>
      <c r="W152" s="380" t="s">
        <v>709</v>
      </c>
      <c r="X152" s="381" t="s">
        <v>1000</v>
      </c>
      <c r="Y152" s="430" t="str">
        <f t="shared" si="2"/>
        <v/>
      </c>
    </row>
    <row r="153" spans="1:25" ht="15.75">
      <c r="A153" s="83" t="s">
        <v>342</v>
      </c>
      <c r="C153" s="269" t="e">
        <f>+IF(COUNTIF(#REF!,"*BULLETIN/CONTRAT*")=1,"X","")</f>
        <v>#REF!</v>
      </c>
      <c r="D153" s="270" t="e">
        <f>+IF(AND(#REF!&lt;&gt;"",#REF!&lt;=#REF!),C153,"")</f>
        <v>#REF!</v>
      </c>
      <c r="S153" s="377" t="s">
        <v>1098</v>
      </c>
      <c r="T153" s="378" t="s">
        <v>1222</v>
      </c>
      <c r="U153" s="378" t="s">
        <v>1222</v>
      </c>
      <c r="V153" s="379" t="s">
        <v>585</v>
      </c>
      <c r="W153" s="380" t="s">
        <v>782</v>
      </c>
      <c r="X153" s="381" t="s">
        <v>999</v>
      </c>
      <c r="Y153" s="430" t="str">
        <f t="shared" si="2"/>
        <v/>
      </c>
    </row>
    <row r="154" spans="1:25" ht="15.75">
      <c r="A154" s="83" t="s">
        <v>242</v>
      </c>
      <c r="S154" s="377" t="s">
        <v>1231</v>
      </c>
      <c r="T154" s="378" t="s">
        <v>1232</v>
      </c>
      <c r="U154" s="378" t="s">
        <v>1232</v>
      </c>
      <c r="V154" s="379" t="s">
        <v>622</v>
      </c>
      <c r="W154" s="380" t="s">
        <v>817</v>
      </c>
      <c r="X154" s="381" t="s">
        <v>1240</v>
      </c>
      <c r="Y154" s="430" t="str">
        <f t="shared" si="2"/>
        <v/>
      </c>
    </row>
    <row r="155" spans="1:25" ht="15.75">
      <c r="A155" s="83" t="s">
        <v>242</v>
      </c>
      <c r="S155" s="377" t="s">
        <v>1072</v>
      </c>
      <c r="T155" s="378" t="s">
        <v>1299</v>
      </c>
      <c r="U155" s="378" t="s">
        <v>1299</v>
      </c>
      <c r="V155" s="379" t="s">
        <v>555</v>
      </c>
      <c r="W155" s="380" t="s">
        <v>751</v>
      </c>
      <c r="X155" s="381" t="s">
        <v>1002</v>
      </c>
      <c r="Y155" s="430" t="str">
        <f t="shared" si="2"/>
        <v/>
      </c>
    </row>
    <row r="156" spans="1:25" ht="15.75">
      <c r="A156" s="83" t="s">
        <v>278</v>
      </c>
      <c r="S156" s="377" t="s">
        <v>1153</v>
      </c>
      <c r="T156" s="378" t="s">
        <v>1153</v>
      </c>
      <c r="U156" s="378" t="s">
        <v>1153</v>
      </c>
      <c r="V156" s="379" t="s">
        <v>657</v>
      </c>
      <c r="W156" s="380" t="s">
        <v>854</v>
      </c>
      <c r="X156" s="381" t="s">
        <v>963</v>
      </c>
      <c r="Y156" s="430" t="str">
        <f t="shared" si="2"/>
        <v/>
      </c>
    </row>
    <row r="157" spans="1:25" ht="17.25">
      <c r="A157" s="83" t="s">
        <v>270</v>
      </c>
      <c r="C157" s="529" t="s">
        <v>73</v>
      </c>
      <c r="D157" s="530"/>
      <c r="S157" s="377" t="s">
        <v>1152</v>
      </c>
      <c r="T157" s="378" t="s">
        <v>1316</v>
      </c>
      <c r="U157" s="378" t="s">
        <v>1316</v>
      </c>
      <c r="V157" s="379" t="s">
        <v>575</v>
      </c>
      <c r="W157" s="380" t="s">
        <v>771</v>
      </c>
      <c r="X157" s="381" t="s">
        <v>1018</v>
      </c>
      <c r="Y157" s="430" t="str">
        <f t="shared" si="2"/>
        <v/>
      </c>
    </row>
    <row r="158" spans="1:25" ht="15.75">
      <c r="A158" s="83" t="s">
        <v>274</v>
      </c>
      <c r="C158" s="40" t="s">
        <v>2</v>
      </c>
      <c r="D158" s="41">
        <v>21914</v>
      </c>
      <c r="S158" s="377" t="s">
        <v>1154</v>
      </c>
      <c r="T158" s="378" t="s">
        <v>1155</v>
      </c>
      <c r="U158" s="378" t="s">
        <v>1155</v>
      </c>
      <c r="V158" s="379" t="s">
        <v>637</v>
      </c>
      <c r="W158" s="380" t="s">
        <v>834</v>
      </c>
      <c r="X158" s="381" t="s">
        <v>1018</v>
      </c>
      <c r="Y158" s="430" t="str">
        <f t="shared" si="2"/>
        <v/>
      </c>
    </row>
    <row r="159" spans="1:25" ht="15.75">
      <c r="A159" s="83" t="s">
        <v>217</v>
      </c>
      <c r="C159" s="42" t="s">
        <v>74</v>
      </c>
      <c r="D159" s="43">
        <v>21184</v>
      </c>
      <c r="S159" s="377" t="s">
        <v>1097</v>
      </c>
      <c r="T159" s="378" t="s">
        <v>1322</v>
      </c>
      <c r="U159" s="378" t="s">
        <v>1322</v>
      </c>
      <c r="V159" s="379" t="s">
        <v>584</v>
      </c>
      <c r="W159" s="380" t="s">
        <v>781</v>
      </c>
      <c r="X159" s="381" t="s">
        <v>1003</v>
      </c>
      <c r="Y159" s="430" t="str">
        <f t="shared" si="2"/>
        <v/>
      </c>
    </row>
    <row r="160" spans="1:25" ht="15.75">
      <c r="A160" s="83" t="s">
        <v>335</v>
      </c>
      <c r="C160" s="42" t="s">
        <v>75</v>
      </c>
      <c r="D160" s="43">
        <v>20088</v>
      </c>
      <c r="S160" s="377" t="s">
        <v>1053</v>
      </c>
      <c r="T160" s="378" t="s">
        <v>1282</v>
      </c>
      <c r="U160" s="378" t="s">
        <v>1282</v>
      </c>
      <c r="V160" s="379" t="s">
        <v>516</v>
      </c>
      <c r="W160" s="380" t="s">
        <v>712</v>
      </c>
      <c r="X160" s="381" t="s">
        <v>1004</v>
      </c>
      <c r="Y160" s="430" t="str">
        <f t="shared" si="2"/>
        <v/>
      </c>
    </row>
    <row r="161" spans="1:25" ht="15.75">
      <c r="A161" s="83" t="s">
        <v>397</v>
      </c>
      <c r="C161" s="44" t="s">
        <v>32</v>
      </c>
      <c r="D161" s="45">
        <v>23741</v>
      </c>
      <c r="S161" s="377" t="s">
        <v>1096</v>
      </c>
      <c r="T161" s="378" t="s">
        <v>1321</v>
      </c>
      <c r="U161" s="378" t="s">
        <v>1321</v>
      </c>
      <c r="V161" s="379" t="s">
        <v>583</v>
      </c>
      <c r="W161" s="380" t="s">
        <v>780</v>
      </c>
      <c r="X161" s="381" t="s">
        <v>1005</v>
      </c>
      <c r="Y161" s="430" t="str">
        <f t="shared" si="2"/>
        <v/>
      </c>
    </row>
    <row r="162" spans="1:25" ht="15.75">
      <c r="A162" s="83"/>
      <c r="S162" s="377"/>
      <c r="T162" s="378" t="s">
        <v>2224</v>
      </c>
      <c r="U162" s="378" t="s">
        <v>1331</v>
      </c>
      <c r="V162" s="379" t="s">
        <v>604</v>
      </c>
      <c r="W162" s="380" t="s">
        <v>800</v>
      </c>
      <c r="X162" s="381" t="s">
        <v>1038</v>
      </c>
      <c r="Y162" s="430" t="str">
        <f t="shared" si="2"/>
        <v/>
      </c>
    </row>
    <row r="163" spans="1:25" ht="15.75">
      <c r="A163" s="83"/>
      <c r="S163" s="377" t="s">
        <v>1057</v>
      </c>
      <c r="T163" s="378" t="s">
        <v>1285</v>
      </c>
      <c r="U163" s="378" t="s">
        <v>1285</v>
      </c>
      <c r="V163" s="379" t="s">
        <v>522</v>
      </c>
      <c r="W163" s="380" t="s">
        <v>718</v>
      </c>
      <c r="X163" s="381" t="s">
        <v>1006</v>
      </c>
      <c r="Y163" s="430" t="str">
        <f t="shared" si="2"/>
        <v/>
      </c>
    </row>
    <row r="164" spans="1:25">
      <c r="S164" s="377" t="s">
        <v>1380</v>
      </c>
      <c r="T164" s="378" t="s">
        <v>1277</v>
      </c>
      <c r="U164" s="378" t="s">
        <v>1277</v>
      </c>
      <c r="V164" s="379" t="s">
        <v>507</v>
      </c>
      <c r="W164" s="380" t="s">
        <v>703</v>
      </c>
      <c r="X164" s="381" t="s">
        <v>901</v>
      </c>
      <c r="Y164" s="430" t="str">
        <f t="shared" si="2"/>
        <v/>
      </c>
    </row>
    <row r="165" spans="1:25">
      <c r="D165" s="5" t="s">
        <v>6</v>
      </c>
      <c r="S165" s="377" t="s">
        <v>1091</v>
      </c>
      <c r="T165" s="378" t="s">
        <v>1317</v>
      </c>
      <c r="U165" s="378" t="s">
        <v>1317</v>
      </c>
      <c r="V165" s="379" t="s">
        <v>577</v>
      </c>
      <c r="W165" s="380" t="s">
        <v>773</v>
      </c>
      <c r="X165" s="381" t="s">
        <v>1008</v>
      </c>
      <c r="Y165" s="430" t="str">
        <f t="shared" si="2"/>
        <v/>
      </c>
    </row>
    <row r="166" spans="1:25" ht="15.75" thickBot="1">
      <c r="S166" s="377" t="s">
        <v>1080</v>
      </c>
      <c r="T166" s="378" t="s">
        <v>1306</v>
      </c>
      <c r="U166" s="378" t="s">
        <v>1306</v>
      </c>
      <c r="V166" s="379" t="s">
        <v>563</v>
      </c>
      <c r="W166" s="383">
        <v>252</v>
      </c>
      <c r="X166" s="381" t="s">
        <v>1015</v>
      </c>
      <c r="Y166" s="430" t="str">
        <f t="shared" ref="Y166:Y229" si="3">IF(COUNTIF(U166:U344,U166)&gt;1,"DOUBLONS","")</f>
        <v/>
      </c>
    </row>
    <row r="167" spans="1:25" ht="17.25" thickTop="1" thickBot="1">
      <c r="C167" s="545" t="s">
        <v>77</v>
      </c>
      <c r="D167" s="546"/>
      <c r="S167" s="377" t="s">
        <v>1066</v>
      </c>
      <c r="T167" s="378" t="s">
        <v>1292</v>
      </c>
      <c r="U167" s="378" t="s">
        <v>1292</v>
      </c>
      <c r="V167" s="379" t="s">
        <v>543</v>
      </c>
      <c r="W167" s="380" t="s">
        <v>739</v>
      </c>
      <c r="X167" s="381" t="s">
        <v>1011</v>
      </c>
      <c r="Y167" s="430" t="str">
        <f t="shared" si="3"/>
        <v/>
      </c>
    </row>
    <row r="168" spans="1:25" ht="15.75" thickTop="1">
      <c r="C168" s="271" t="e">
        <f>+IF(OR(#REF!&gt;1,#REF!=""),1,"")</f>
        <v>#REF!</v>
      </c>
      <c r="D168" s="271" t="e">
        <f>IF(#REF!&lt;&gt;"",2,"")</f>
        <v>#REF!</v>
      </c>
      <c r="S168" s="377" t="s">
        <v>1085</v>
      </c>
      <c r="T168" s="378" t="s">
        <v>1157</v>
      </c>
      <c r="U168" s="378" t="s">
        <v>1157</v>
      </c>
      <c r="V168" s="379" t="s">
        <v>569</v>
      </c>
      <c r="W168" s="380" t="s">
        <v>765</v>
      </c>
      <c r="X168" s="381" t="s">
        <v>1012</v>
      </c>
      <c r="Y168" s="430" t="str">
        <f t="shared" si="3"/>
        <v/>
      </c>
    </row>
    <row r="169" spans="1:25">
      <c r="S169" s="377" t="s">
        <v>1375</v>
      </c>
      <c r="T169" s="378" t="s">
        <v>1376</v>
      </c>
      <c r="U169" s="378" t="s">
        <v>1376</v>
      </c>
      <c r="V169" s="379" t="s">
        <v>527</v>
      </c>
      <c r="W169" s="380" t="s">
        <v>723</v>
      </c>
      <c r="X169" s="381" t="s">
        <v>1013</v>
      </c>
      <c r="Y169" s="430" t="str">
        <f t="shared" si="3"/>
        <v/>
      </c>
    </row>
    <row r="170" spans="1:25">
      <c r="S170" s="377" t="s">
        <v>1160</v>
      </c>
      <c r="T170" s="378" t="s">
        <v>1161</v>
      </c>
      <c r="U170" s="378" t="s">
        <v>1161</v>
      </c>
      <c r="V170" s="379" t="s">
        <v>631</v>
      </c>
      <c r="W170" s="380" t="s">
        <v>827</v>
      </c>
      <c r="X170" s="381" t="s">
        <v>1010</v>
      </c>
      <c r="Y170" s="430" t="str">
        <f t="shared" si="3"/>
        <v/>
      </c>
    </row>
    <row r="171" spans="1:25" ht="15.75" thickBot="1">
      <c r="S171" s="377" t="s">
        <v>1158</v>
      </c>
      <c r="T171" s="378" t="s">
        <v>1159</v>
      </c>
      <c r="U171" s="378" t="s">
        <v>1159</v>
      </c>
      <c r="V171" s="379" t="s">
        <v>514</v>
      </c>
      <c r="W171" s="380" t="s">
        <v>710</v>
      </c>
      <c r="X171" s="381" t="s">
        <v>1019</v>
      </c>
      <c r="Y171" s="430" t="str">
        <f t="shared" si="3"/>
        <v/>
      </c>
    </row>
    <row r="172" spans="1:25" ht="17.25" thickTop="1" thickBot="1">
      <c r="C172" s="554" t="s">
        <v>1275</v>
      </c>
      <c r="D172" s="555"/>
      <c r="S172" s="382" t="s">
        <v>1263</v>
      </c>
      <c r="T172" s="379" t="s">
        <v>1333</v>
      </c>
      <c r="U172" s="379" t="s">
        <v>1333</v>
      </c>
      <c r="V172" s="379" t="s">
        <v>606</v>
      </c>
      <c r="W172" s="380" t="s">
        <v>802</v>
      </c>
      <c r="X172" s="381" t="s">
        <v>1014</v>
      </c>
      <c r="Y172" s="430" t="str">
        <f t="shared" si="3"/>
        <v/>
      </c>
    </row>
    <row r="173" spans="1:25" ht="15.75" thickTop="1">
      <c r="C173" s="210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73" s="209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S173" s="382" t="s">
        <v>1236</v>
      </c>
      <c r="T173" s="379" t="s">
        <v>1237</v>
      </c>
      <c r="U173" s="379" t="s">
        <v>1237</v>
      </c>
      <c r="V173" s="379" t="s">
        <v>624</v>
      </c>
      <c r="W173" s="380" t="s">
        <v>819</v>
      </c>
      <c r="X173" s="381" t="s">
        <v>1017</v>
      </c>
      <c r="Y173" s="430" t="str">
        <f t="shared" si="3"/>
        <v/>
      </c>
    </row>
    <row r="174" spans="1:25" ht="15.75" thickBot="1">
      <c r="C174" s="272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74" s="240"/>
      <c r="S174" s="377" t="s">
        <v>1162</v>
      </c>
      <c r="T174" s="378" t="s">
        <v>1162</v>
      </c>
      <c r="U174" s="378" t="s">
        <v>1162</v>
      </c>
      <c r="V174" s="379" t="s">
        <v>610</v>
      </c>
      <c r="W174" s="380" t="s">
        <v>806</v>
      </c>
      <c r="X174" s="381" t="s">
        <v>271</v>
      </c>
      <c r="Y174" s="430" t="str">
        <f t="shared" si="3"/>
        <v/>
      </c>
    </row>
    <row r="175" spans="1:25" ht="15.75" thickTop="1">
      <c r="S175" s="377" t="s">
        <v>1081</v>
      </c>
      <c r="T175" s="378" t="s">
        <v>1307</v>
      </c>
      <c r="U175" s="378" t="s">
        <v>1307</v>
      </c>
      <c r="V175" s="379" t="s">
        <v>565</v>
      </c>
      <c r="W175" s="380" t="s">
        <v>761</v>
      </c>
      <c r="X175" s="381" t="s">
        <v>1016</v>
      </c>
      <c r="Y175" s="430" t="str">
        <f t="shared" si="3"/>
        <v/>
      </c>
    </row>
    <row r="176" spans="1:25" ht="15.75">
      <c r="C176" s="523"/>
      <c r="D176" s="523"/>
      <c r="S176" s="377" t="s">
        <v>1377</v>
      </c>
      <c r="T176" s="378" t="s">
        <v>1378</v>
      </c>
      <c r="U176" s="378" t="s">
        <v>1378</v>
      </c>
      <c r="V176" s="379" t="s">
        <v>636</v>
      </c>
      <c r="W176" s="380" t="s">
        <v>833</v>
      </c>
      <c r="X176" s="381"/>
      <c r="Y176" s="430" t="str">
        <f t="shared" si="3"/>
        <v/>
      </c>
    </row>
    <row r="177" spans="3:25">
      <c r="C177" s="361"/>
      <c r="D177" s="142"/>
      <c r="S177" s="377" t="s">
        <v>1165</v>
      </c>
      <c r="T177" s="378" t="s">
        <v>1166</v>
      </c>
      <c r="U177" s="378" t="s">
        <v>1166</v>
      </c>
      <c r="V177" s="379" t="s">
        <v>635</v>
      </c>
      <c r="W177" s="380" t="s">
        <v>831</v>
      </c>
      <c r="X177" s="381" t="s">
        <v>1021</v>
      </c>
      <c r="Y177" s="430" t="str">
        <f t="shared" si="3"/>
        <v/>
      </c>
    </row>
    <row r="178" spans="3:25">
      <c r="C178" s="56"/>
      <c r="D178" s="56"/>
      <c r="S178" s="377" t="s">
        <v>1112</v>
      </c>
      <c r="T178" s="378" t="s">
        <v>1167</v>
      </c>
      <c r="U178" s="378" t="s">
        <v>1167</v>
      </c>
      <c r="V178" s="379" t="s">
        <v>619</v>
      </c>
      <c r="W178" s="380" t="s">
        <v>814</v>
      </c>
      <c r="X178" s="381" t="s">
        <v>1025</v>
      </c>
      <c r="Y178" s="430" t="str">
        <f t="shared" si="3"/>
        <v/>
      </c>
    </row>
    <row r="179" spans="3:25">
      <c r="C179" s="56"/>
      <c r="D179" s="56"/>
      <c r="S179" s="377" t="s">
        <v>1168</v>
      </c>
      <c r="T179" s="378" t="s">
        <v>1169</v>
      </c>
      <c r="U179" s="378" t="s">
        <v>1169</v>
      </c>
      <c r="V179" s="379" t="s">
        <v>612</v>
      </c>
      <c r="W179" s="380" t="s">
        <v>808</v>
      </c>
      <c r="X179" s="381" t="s">
        <v>1023</v>
      </c>
      <c r="Y179" s="430" t="str">
        <f t="shared" si="3"/>
        <v/>
      </c>
    </row>
    <row r="180" spans="3:25" ht="15.75">
      <c r="C180" s="523"/>
      <c r="D180" s="523"/>
      <c r="S180" s="377" t="s">
        <v>1250</v>
      </c>
      <c r="T180" s="378" t="s">
        <v>1362</v>
      </c>
      <c r="U180" s="378" t="s">
        <v>1362</v>
      </c>
      <c r="V180" s="379" t="s">
        <v>684</v>
      </c>
      <c r="W180" s="380" t="s">
        <v>882</v>
      </c>
      <c r="X180" s="381" t="s">
        <v>1022</v>
      </c>
      <c r="Y180" s="430" t="str">
        <f t="shared" si="3"/>
        <v/>
      </c>
    </row>
    <row r="181" spans="3:25">
      <c r="C181" s="361"/>
      <c r="D181" s="142"/>
      <c r="S181" s="377" t="s">
        <v>1062</v>
      </c>
      <c r="T181" s="378" t="s">
        <v>1289</v>
      </c>
      <c r="U181" s="378" t="s">
        <v>1289</v>
      </c>
      <c r="V181" s="379" t="s">
        <v>536</v>
      </c>
      <c r="W181" s="380" t="s">
        <v>732</v>
      </c>
      <c r="X181" s="381" t="s">
        <v>1026</v>
      </c>
      <c r="Y181" s="430" t="str">
        <f t="shared" si="3"/>
        <v/>
      </c>
    </row>
    <row r="182" spans="3:25">
      <c r="C182" s="56"/>
      <c r="D182" s="56"/>
      <c r="S182" s="377" t="s">
        <v>1129</v>
      </c>
      <c r="T182" s="378" t="s">
        <v>1170</v>
      </c>
      <c r="U182" s="378" t="s">
        <v>1170</v>
      </c>
      <c r="V182" s="379" t="s">
        <v>1386</v>
      </c>
      <c r="W182" s="380" t="s">
        <v>860</v>
      </c>
      <c r="X182" s="381" t="s">
        <v>1029</v>
      </c>
      <c r="Y182" s="430" t="str">
        <f t="shared" si="3"/>
        <v>DOUBLONS</v>
      </c>
    </row>
    <row r="183" spans="3:25" ht="15.75">
      <c r="C183" s="356"/>
      <c r="D183" s="356"/>
      <c r="S183" s="377" t="s">
        <v>1129</v>
      </c>
      <c r="T183" s="378" t="s">
        <v>1170</v>
      </c>
      <c r="U183" s="378" t="s">
        <v>1170</v>
      </c>
      <c r="V183" s="379" t="s">
        <v>1384</v>
      </c>
      <c r="W183" s="380" t="s">
        <v>825</v>
      </c>
      <c r="X183" s="381" t="s">
        <v>1385</v>
      </c>
      <c r="Y183" s="430" t="str">
        <f t="shared" si="3"/>
        <v/>
      </c>
    </row>
    <row r="184" spans="3:25">
      <c r="C184" s="129"/>
      <c r="D184" s="129"/>
      <c r="S184" s="377" t="s">
        <v>1132</v>
      </c>
      <c r="T184" s="378" t="s">
        <v>1356</v>
      </c>
      <c r="U184" s="378" t="s">
        <v>1356</v>
      </c>
      <c r="V184" s="379" t="s">
        <v>673</v>
      </c>
      <c r="W184" s="380" t="s">
        <v>871</v>
      </c>
      <c r="X184" s="381" t="s">
        <v>1027</v>
      </c>
      <c r="Y184" s="430" t="str">
        <f t="shared" si="3"/>
        <v/>
      </c>
    </row>
    <row r="185" spans="3:25">
      <c r="C185" s="129"/>
      <c r="D185" s="129"/>
      <c r="S185" s="377" t="s">
        <v>1122</v>
      </c>
      <c r="T185" s="378" t="s">
        <v>1345</v>
      </c>
      <c r="U185" s="378" t="s">
        <v>1345</v>
      </c>
      <c r="V185" s="379" t="s">
        <v>649</v>
      </c>
      <c r="W185" s="380" t="s">
        <v>846</v>
      </c>
      <c r="X185" s="381" t="s">
        <v>1030</v>
      </c>
      <c r="Y185" s="430" t="str">
        <f t="shared" si="3"/>
        <v/>
      </c>
    </row>
    <row r="186" spans="3:25">
      <c r="C186" s="56"/>
      <c r="D186" s="56"/>
      <c r="S186" s="377" t="s">
        <v>1123</v>
      </c>
      <c r="T186" s="378" t="s">
        <v>1346</v>
      </c>
      <c r="U186" s="378" t="s">
        <v>1346</v>
      </c>
      <c r="V186" s="379" t="s">
        <v>650</v>
      </c>
      <c r="W186" s="380" t="s">
        <v>847</v>
      </c>
      <c r="X186" s="381" t="s">
        <v>328</v>
      </c>
      <c r="Y186" s="430" t="str">
        <f t="shared" si="3"/>
        <v/>
      </c>
    </row>
    <row r="187" spans="3:25" ht="19.5">
      <c r="C187" s="295"/>
      <c r="D187" s="295"/>
      <c r="S187" s="377" t="s">
        <v>1051</v>
      </c>
      <c r="T187" s="378" t="s">
        <v>1280</v>
      </c>
      <c r="U187" s="378" t="s">
        <v>1280</v>
      </c>
      <c r="V187" s="379" t="s">
        <v>512</v>
      </c>
      <c r="W187" s="380" t="s">
        <v>708</v>
      </c>
      <c r="X187" s="381" t="s">
        <v>1028</v>
      </c>
      <c r="Y187" s="430" t="str">
        <f t="shared" si="3"/>
        <v/>
      </c>
    </row>
    <row r="188" spans="3:25">
      <c r="C188" s="552" t="s">
        <v>457</v>
      </c>
      <c r="D188" s="553"/>
      <c r="K188" s="6"/>
      <c r="S188" s="377" t="s">
        <v>1055</v>
      </c>
      <c r="T188" s="378" t="s">
        <v>1283</v>
      </c>
      <c r="U188" s="378" t="s">
        <v>1283</v>
      </c>
      <c r="V188" s="379" t="s">
        <v>518</v>
      </c>
      <c r="W188" s="380" t="s">
        <v>714</v>
      </c>
      <c r="X188" s="381" t="s">
        <v>1366</v>
      </c>
      <c r="Y188" s="430" t="str">
        <f t="shared" si="3"/>
        <v/>
      </c>
    </row>
    <row r="189" spans="3:25" ht="18.75">
      <c r="C189" s="396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89" s="296"/>
      <c r="S189" s="377" t="s">
        <v>1124</v>
      </c>
      <c r="T189" s="378" t="s">
        <v>1347</v>
      </c>
      <c r="U189" s="378" t="s">
        <v>1347</v>
      </c>
      <c r="V189" s="379" t="s">
        <v>651</v>
      </c>
      <c r="W189" s="380" t="s">
        <v>848</v>
      </c>
      <c r="X189" s="381" t="s">
        <v>240</v>
      </c>
      <c r="Y189" s="430" t="str">
        <f t="shared" si="3"/>
        <v/>
      </c>
    </row>
    <row r="190" spans="3:25" ht="18.75">
      <c r="C190" s="397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0" s="297"/>
      <c r="S190" s="377" t="s">
        <v>1049</v>
      </c>
      <c r="T190" s="378" t="s">
        <v>1279</v>
      </c>
      <c r="U190" s="378" t="s">
        <v>1279</v>
      </c>
      <c r="V190" s="379" t="s">
        <v>510</v>
      </c>
      <c r="W190" s="380" t="s">
        <v>706</v>
      </c>
      <c r="X190" s="381" t="s">
        <v>1031</v>
      </c>
      <c r="Y190" s="430" t="str">
        <f t="shared" si="3"/>
        <v/>
      </c>
    </row>
    <row r="191" spans="3:25" ht="17.25">
      <c r="C191" s="300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1" s="298"/>
      <c r="S191" s="475" t="s">
        <v>1084</v>
      </c>
      <c r="T191" s="476" t="s">
        <v>2223</v>
      </c>
      <c r="U191" s="476" t="s">
        <v>1310</v>
      </c>
      <c r="V191" s="477" t="s">
        <v>568</v>
      </c>
      <c r="W191" s="380" t="s">
        <v>764</v>
      </c>
      <c r="X191" s="381" t="s">
        <v>991</v>
      </c>
      <c r="Y191" s="430" t="str">
        <f t="shared" si="3"/>
        <v/>
      </c>
    </row>
    <row r="192" spans="3:25" ht="17.25">
      <c r="C192" s="300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2" s="298"/>
      <c r="S192" s="377" t="s">
        <v>1114</v>
      </c>
      <c r="T192" s="378" t="s">
        <v>1338</v>
      </c>
      <c r="U192" s="378" t="s">
        <v>1338</v>
      </c>
      <c r="V192" s="379" t="s">
        <v>627</v>
      </c>
      <c r="W192" s="380" t="s">
        <v>822</v>
      </c>
      <c r="X192" s="381" t="s">
        <v>1032</v>
      </c>
      <c r="Y192" s="430" t="str">
        <f t="shared" si="3"/>
        <v/>
      </c>
    </row>
    <row r="193" spans="3:25" ht="17.25">
      <c r="C193" s="301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3" s="299"/>
      <c r="S193" s="377" t="s">
        <v>1136</v>
      </c>
      <c r="T193" s="378" t="s">
        <v>1360</v>
      </c>
      <c r="U193" s="378" t="s">
        <v>1360</v>
      </c>
      <c r="V193" s="379" t="s">
        <v>682</v>
      </c>
      <c r="W193" s="380" t="s">
        <v>880</v>
      </c>
      <c r="X193" s="381" t="s">
        <v>345</v>
      </c>
      <c r="Y193" s="430" t="str">
        <f t="shared" si="3"/>
        <v/>
      </c>
    </row>
    <row r="194" spans="3:25" ht="17.25">
      <c r="C194" s="280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4" s="279"/>
      <c r="S194" s="377" t="s">
        <v>1210</v>
      </c>
      <c r="T194" s="378" t="s">
        <v>1211</v>
      </c>
      <c r="U194" s="378" t="s">
        <v>1211</v>
      </c>
      <c r="V194" s="379" t="s">
        <v>652</v>
      </c>
      <c r="W194" s="380" t="s">
        <v>849</v>
      </c>
      <c r="X194" s="381" t="s">
        <v>902</v>
      </c>
      <c r="Y194" s="430" t="str">
        <f t="shared" si="3"/>
        <v/>
      </c>
    </row>
    <row r="195" spans="3:25" ht="17.25">
      <c r="C195" s="280"/>
      <c r="D195" s="279"/>
      <c r="S195" s="377" t="s">
        <v>1100</v>
      </c>
      <c r="T195" s="378" t="s">
        <v>1324</v>
      </c>
      <c r="U195" s="378" t="s">
        <v>1324</v>
      </c>
      <c r="V195" s="379" t="s">
        <v>587</v>
      </c>
      <c r="W195" s="380" t="s">
        <v>784</v>
      </c>
      <c r="X195" s="381" t="s">
        <v>244</v>
      </c>
      <c r="Y195" s="430" t="str">
        <f t="shared" si="3"/>
        <v/>
      </c>
    </row>
    <row r="196" spans="3:25" ht="15.75">
      <c r="C196" s="281"/>
      <c r="D196" s="279"/>
      <c r="S196" s="377" t="s">
        <v>1171</v>
      </c>
      <c r="T196" s="378" t="s">
        <v>1172</v>
      </c>
      <c r="U196" s="378" t="s">
        <v>1172</v>
      </c>
      <c r="V196" s="379" t="s">
        <v>654</v>
      </c>
      <c r="W196" s="380" t="s">
        <v>851</v>
      </c>
      <c r="X196" s="381" t="s">
        <v>907</v>
      </c>
      <c r="Y196" s="430" t="str">
        <f t="shared" si="3"/>
        <v/>
      </c>
    </row>
    <row r="197" spans="3:25" ht="17.25">
      <c r="C197" s="280"/>
      <c r="D197" s="282"/>
      <c r="S197" s="377" t="s">
        <v>1264</v>
      </c>
      <c r="T197" s="378" t="s">
        <v>1265</v>
      </c>
      <c r="U197" s="378" t="s">
        <v>1265</v>
      </c>
      <c r="V197" s="379" t="s">
        <v>664</v>
      </c>
      <c r="W197" s="380" t="s">
        <v>862</v>
      </c>
      <c r="X197" s="381" t="s">
        <v>921</v>
      </c>
      <c r="Y197" s="430" t="str">
        <f t="shared" si="3"/>
        <v/>
      </c>
    </row>
    <row r="198" spans="3:25" ht="18" thickBot="1">
      <c r="C198" s="280"/>
      <c r="D198" s="283"/>
      <c r="S198" s="377" t="s">
        <v>1251</v>
      </c>
      <c r="T198" s="378" t="s">
        <v>1251</v>
      </c>
      <c r="U198" s="378" t="s">
        <v>1251</v>
      </c>
      <c r="V198" s="379" t="s">
        <v>670</v>
      </c>
      <c r="W198" s="380" t="s">
        <v>868</v>
      </c>
      <c r="X198" s="381" t="s">
        <v>908</v>
      </c>
      <c r="Y198" s="430" t="str">
        <f t="shared" si="3"/>
        <v/>
      </c>
    </row>
    <row r="199" spans="3:25" ht="18.75" thickTop="1" thickBot="1">
      <c r="C199" s="280"/>
      <c r="D199" s="283"/>
      <c r="O199" s="549" t="s">
        <v>502</v>
      </c>
      <c r="P199" s="550"/>
      <c r="Q199" s="551"/>
      <c r="S199" s="377" t="s">
        <v>1175</v>
      </c>
      <c r="T199" s="378" t="s">
        <v>1176</v>
      </c>
      <c r="U199" s="378" t="s">
        <v>1176</v>
      </c>
      <c r="V199" s="379" t="s">
        <v>603</v>
      </c>
      <c r="W199" s="380" t="s">
        <v>799</v>
      </c>
      <c r="X199" s="381" t="s">
        <v>910</v>
      </c>
      <c r="Y199" s="430" t="str">
        <f t="shared" si="3"/>
        <v/>
      </c>
    </row>
    <row r="200" spans="3:25" ht="18" thickTop="1">
      <c r="C200" s="280"/>
      <c r="D200" s="284"/>
      <c r="O200" s="353" t="s">
        <v>497</v>
      </c>
      <c r="P200" s="354" t="s">
        <v>498</v>
      </c>
      <c r="Q200" s="355" t="s">
        <v>5</v>
      </c>
      <c r="R200" s="56"/>
      <c r="S200" s="377" t="s">
        <v>1173</v>
      </c>
      <c r="T200" s="378" t="s">
        <v>1174</v>
      </c>
      <c r="U200" s="378" t="s">
        <v>1174</v>
      </c>
      <c r="V200" s="379" t="s">
        <v>532</v>
      </c>
      <c r="W200" s="380" t="s">
        <v>728</v>
      </c>
      <c r="X200" s="381" t="s">
        <v>911</v>
      </c>
      <c r="Y200" s="430" t="str">
        <f t="shared" si="3"/>
        <v/>
      </c>
    </row>
    <row r="201" spans="3:25" ht="17.25">
      <c r="C201" s="280"/>
      <c r="D201" s="284"/>
      <c r="O201" s="346" t="s">
        <v>501</v>
      </c>
      <c r="P201" s="351" t="e">
        <f>IF(#REF!&lt;&gt;"",#REF!,"")</f>
        <v>#REF!</v>
      </c>
      <c r="Q201" s="359" t="e">
        <f>IF(#REF!&lt;&gt;"",7,"")</f>
        <v>#REF!</v>
      </c>
      <c r="R201" s="56"/>
      <c r="S201" s="377" t="s">
        <v>1120</v>
      </c>
      <c r="T201" s="378" t="s">
        <v>1343</v>
      </c>
      <c r="U201" s="378" t="s">
        <v>1343</v>
      </c>
      <c r="V201" s="379" t="s">
        <v>647</v>
      </c>
      <c r="W201" s="380" t="s">
        <v>844</v>
      </c>
      <c r="X201" s="381" t="s">
        <v>317</v>
      </c>
      <c r="Y201" s="430" t="str">
        <f t="shared" si="3"/>
        <v/>
      </c>
    </row>
    <row r="202" spans="3:25" ht="17.25">
      <c r="C202" s="280"/>
      <c r="D202" s="284"/>
      <c r="O202" s="346" t="s">
        <v>499</v>
      </c>
      <c r="P202" s="351" t="e">
        <f>IF(#REF!&lt;&gt;"",#REF!,"")</f>
        <v>#REF!</v>
      </c>
      <c r="Q202" s="347" t="e">
        <f>IF(AND(#REF!&gt;2500,#REF!&lt;&gt;""),2,"")</f>
        <v>#REF!</v>
      </c>
      <c r="R202" s="56"/>
      <c r="S202" s="377" t="s">
        <v>1083</v>
      </c>
      <c r="T202" s="378" t="s">
        <v>1309</v>
      </c>
      <c r="U202" s="378" t="s">
        <v>1309</v>
      </c>
      <c r="V202" s="379" t="s">
        <v>567</v>
      </c>
      <c r="W202" s="380" t="s">
        <v>763</v>
      </c>
      <c r="X202" s="381" t="s">
        <v>380</v>
      </c>
      <c r="Y202" s="430" t="str">
        <f t="shared" si="3"/>
        <v/>
      </c>
    </row>
    <row r="203" spans="3:25" ht="17.25">
      <c r="C203" s="280"/>
      <c r="D203" s="284"/>
      <c r="O203" s="348" t="s">
        <v>500</v>
      </c>
      <c r="P203" s="352" t="e">
        <f>#REF!</f>
        <v>#REF!</v>
      </c>
      <c r="Q203" s="349" t="e">
        <f>IF(AND(#REF!&lt;&gt;"NON",#REF!&lt;&gt;""),3,"")</f>
        <v>#REF!</v>
      </c>
      <c r="R203" s="56"/>
      <c r="S203" s="377" t="s">
        <v>1071</v>
      </c>
      <c r="T203" s="378" t="s">
        <v>1298</v>
      </c>
      <c r="U203" s="378" t="s">
        <v>1298</v>
      </c>
      <c r="V203" s="379" t="s">
        <v>554</v>
      </c>
      <c r="W203" s="380" t="s">
        <v>750</v>
      </c>
      <c r="X203" s="381" t="s">
        <v>912</v>
      </c>
      <c r="Y203" s="430" t="str">
        <f t="shared" si="3"/>
        <v/>
      </c>
    </row>
    <row r="204" spans="3:25" ht="17.25">
      <c r="C204" s="280"/>
      <c r="D204" s="285"/>
      <c r="O204" s="3"/>
      <c r="P204" s="3"/>
      <c r="Q204" s="350" t="e">
        <f>SUM(Q201:Q203)</f>
        <v>#REF!</v>
      </c>
      <c r="R204" s="3"/>
      <c r="S204" s="377" t="s">
        <v>1177</v>
      </c>
      <c r="T204" s="378" t="s">
        <v>1177</v>
      </c>
      <c r="U204" s="378" t="s">
        <v>1177</v>
      </c>
      <c r="V204" s="379" t="s">
        <v>523</v>
      </c>
      <c r="W204" s="380" t="s">
        <v>719</v>
      </c>
      <c r="X204" s="381" t="s">
        <v>909</v>
      </c>
      <c r="Y204" s="430" t="str">
        <f t="shared" si="3"/>
        <v/>
      </c>
    </row>
    <row r="205" spans="3:25" ht="17.25">
      <c r="C205" s="280"/>
      <c r="D205" s="279"/>
      <c r="O205" s="3"/>
      <c r="P205" s="3"/>
      <c r="Q205" s="3"/>
      <c r="R205" s="3"/>
      <c r="S205" s="377" t="s">
        <v>1228</v>
      </c>
      <c r="T205" s="378" t="s">
        <v>1228</v>
      </c>
      <c r="U205" s="378" t="s">
        <v>1228</v>
      </c>
      <c r="V205" s="379" t="s">
        <v>597</v>
      </c>
      <c r="W205" s="380" t="s">
        <v>794</v>
      </c>
      <c r="X205" s="381" t="s">
        <v>1046</v>
      </c>
      <c r="Y205" s="430" t="str">
        <f t="shared" si="3"/>
        <v/>
      </c>
    </row>
    <row r="206" spans="3:25" ht="17.25">
      <c r="C206" s="280"/>
      <c r="D206" s="279"/>
      <c r="O206" s="3"/>
      <c r="P206" s="3"/>
      <c r="Q206" s="3"/>
      <c r="R206" s="362" t="s">
        <v>6</v>
      </c>
      <c r="S206" s="377" t="s">
        <v>1178</v>
      </c>
      <c r="T206" s="378" t="s">
        <v>1179</v>
      </c>
      <c r="U206" s="378" t="s">
        <v>1179</v>
      </c>
      <c r="V206" s="379" t="s">
        <v>674</v>
      </c>
      <c r="W206" s="380" t="s">
        <v>872</v>
      </c>
      <c r="X206" s="381" t="s">
        <v>924</v>
      </c>
      <c r="Y206" s="430" t="str">
        <f t="shared" si="3"/>
        <v/>
      </c>
    </row>
    <row r="207" spans="3:25" ht="17.25">
      <c r="C207" s="280"/>
      <c r="D207" s="285"/>
      <c r="O207" s="3"/>
      <c r="P207" s="3"/>
      <c r="Q207" s="3"/>
      <c r="R207" s="3"/>
      <c r="S207" s="377" t="s">
        <v>1180</v>
      </c>
      <c r="T207" s="378" t="s">
        <v>1180</v>
      </c>
      <c r="U207" s="378" t="s">
        <v>1180</v>
      </c>
      <c r="V207" s="379" t="s">
        <v>599</v>
      </c>
      <c r="W207" s="383">
        <v>386</v>
      </c>
      <c r="X207" s="381" t="s">
        <v>922</v>
      </c>
      <c r="Y207" s="430" t="str">
        <f t="shared" si="3"/>
        <v/>
      </c>
    </row>
    <row r="208" spans="3:25" ht="17.25">
      <c r="C208" s="280"/>
      <c r="D208" s="285"/>
      <c r="O208" s="3"/>
      <c r="P208" s="3"/>
      <c r="Q208" s="3"/>
      <c r="R208" s="3"/>
      <c r="S208" s="377" t="s">
        <v>1105</v>
      </c>
      <c r="T208" s="378" t="s">
        <v>1105</v>
      </c>
      <c r="U208" s="378" t="s">
        <v>1105</v>
      </c>
      <c r="V208" s="379" t="s">
        <v>593</v>
      </c>
      <c r="W208" s="380" t="s">
        <v>790</v>
      </c>
      <c r="X208" s="381" t="s">
        <v>914</v>
      </c>
      <c r="Y208" s="430" t="str">
        <f t="shared" si="3"/>
        <v/>
      </c>
    </row>
    <row r="209" spans="3:25" ht="17.25">
      <c r="C209" s="280"/>
      <c r="D209" s="285"/>
      <c r="O209" s="3"/>
      <c r="P209" s="3"/>
      <c r="Q209" s="3"/>
      <c r="R209" s="3"/>
      <c r="S209" s="377" t="s">
        <v>1075</v>
      </c>
      <c r="T209" s="378" t="s">
        <v>1302</v>
      </c>
      <c r="U209" s="378" t="s">
        <v>1302</v>
      </c>
      <c r="V209" s="379" t="s">
        <v>558</v>
      </c>
      <c r="W209" s="380" t="s">
        <v>754</v>
      </c>
      <c r="X209" s="381" t="s">
        <v>915</v>
      </c>
      <c r="Y209" s="430" t="str">
        <f t="shared" si="3"/>
        <v/>
      </c>
    </row>
    <row r="210" spans="3:25" ht="17.25">
      <c r="C210" s="280"/>
      <c r="D210" s="282"/>
      <c r="M210" s="218" t="s">
        <v>2240</v>
      </c>
      <c r="O210" s="3"/>
      <c r="P210" s="3"/>
      <c r="Q210" s="3"/>
      <c r="R210" s="3"/>
      <c r="S210" s="377" t="s">
        <v>1181</v>
      </c>
      <c r="T210" s="378" t="s">
        <v>1182</v>
      </c>
      <c r="U210" s="378" t="s">
        <v>1182</v>
      </c>
      <c r="V210" s="379" t="s">
        <v>529</v>
      </c>
      <c r="W210" s="380" t="s">
        <v>725</v>
      </c>
      <c r="X210" s="381" t="s">
        <v>919</v>
      </c>
      <c r="Y210" s="430" t="str">
        <f t="shared" si="3"/>
        <v/>
      </c>
    </row>
    <row r="211" spans="3:25" ht="17.25">
      <c r="C211" s="280"/>
      <c r="D211" s="279"/>
      <c r="S211" s="377" t="s">
        <v>1068</v>
      </c>
      <c r="T211" s="378" t="s">
        <v>1294</v>
      </c>
      <c r="U211" s="378" t="s">
        <v>1294</v>
      </c>
      <c r="V211" s="379" t="s">
        <v>550</v>
      </c>
      <c r="W211" s="380" t="s">
        <v>746</v>
      </c>
      <c r="X211" s="381" t="s">
        <v>913</v>
      </c>
      <c r="Y211" s="430" t="str">
        <f t="shared" si="3"/>
        <v/>
      </c>
    </row>
    <row r="212" spans="3:25" ht="17.25">
      <c r="C212" s="280"/>
      <c r="D212" s="279"/>
      <c r="S212" s="377" t="s">
        <v>1113</v>
      </c>
      <c r="T212" s="378" t="s">
        <v>1337</v>
      </c>
      <c r="U212" s="378" t="s">
        <v>1337</v>
      </c>
      <c r="V212" s="379" t="s">
        <v>625</v>
      </c>
      <c r="W212" s="380" t="s">
        <v>820</v>
      </c>
      <c r="X212" s="381" t="s">
        <v>918</v>
      </c>
      <c r="Y212" s="430" t="str">
        <f t="shared" si="3"/>
        <v/>
      </c>
    </row>
    <row r="213" spans="3:25" ht="17.25">
      <c r="C213" s="280"/>
      <c r="D213" s="279"/>
      <c r="S213" s="377" t="s">
        <v>1183</v>
      </c>
      <c r="T213" s="378" t="s">
        <v>1184</v>
      </c>
      <c r="U213" s="378" t="s">
        <v>1184</v>
      </c>
      <c r="V213" s="379" t="s">
        <v>595</v>
      </c>
      <c r="W213" s="380" t="s">
        <v>792</v>
      </c>
      <c r="X213" s="381" t="s">
        <v>920</v>
      </c>
      <c r="Y213" s="430" t="str">
        <f t="shared" si="3"/>
        <v/>
      </c>
    </row>
    <row r="214" spans="3:25" ht="17.25">
      <c r="C214" s="280"/>
      <c r="D214" s="286"/>
      <c r="M214" s="218" t="e">
        <f>IF(AND(PARAMETRE!A30=18,COUNTIF(#REF!,"*VP MINEUR*")=1),62,IF(AND(PARAMETRE!A30=18,COUNTIF(#REF!,"*VP MINEUR*")=0),63,""))</f>
        <v>#REF!</v>
      </c>
      <c r="S214" s="377" t="s">
        <v>1074</v>
      </c>
      <c r="T214" s="378" t="s">
        <v>1301</v>
      </c>
      <c r="U214" s="378" t="s">
        <v>1301</v>
      </c>
      <c r="V214" s="379" t="s">
        <v>557</v>
      </c>
      <c r="W214" s="380" t="s">
        <v>753</v>
      </c>
      <c r="X214" s="381" t="s">
        <v>506</v>
      </c>
      <c r="Y214" s="430" t="str">
        <f t="shared" si="3"/>
        <v/>
      </c>
    </row>
    <row r="215" spans="3:25" ht="17.25">
      <c r="C215" s="280"/>
      <c r="D215" s="287"/>
      <c r="S215" s="377" t="s">
        <v>1110</v>
      </c>
      <c r="T215" s="378" t="s">
        <v>1334</v>
      </c>
      <c r="U215" s="378" t="s">
        <v>1334</v>
      </c>
      <c r="V215" s="379" t="s">
        <v>608</v>
      </c>
      <c r="W215" s="380" t="s">
        <v>804</v>
      </c>
      <c r="X215" s="381" t="s">
        <v>923</v>
      </c>
      <c r="Y215" s="430" t="str">
        <f t="shared" si="3"/>
        <v/>
      </c>
    </row>
    <row r="216" spans="3:25" ht="17.25">
      <c r="C216" s="280"/>
      <c r="D216" s="279"/>
      <c r="S216" s="377" t="s">
        <v>1133</v>
      </c>
      <c r="T216" s="378" t="s">
        <v>1357</v>
      </c>
      <c r="U216" s="378" t="s">
        <v>1357</v>
      </c>
      <c r="V216" s="379" t="s">
        <v>678</v>
      </c>
      <c r="W216" s="380" t="s">
        <v>876</v>
      </c>
      <c r="X216" s="381" t="s">
        <v>916</v>
      </c>
      <c r="Y216" s="430" t="str">
        <f t="shared" si="3"/>
        <v/>
      </c>
    </row>
    <row r="217" spans="3:25" ht="17.25">
      <c r="C217" s="280"/>
      <c r="D217" s="279"/>
      <c r="S217" s="377" t="s">
        <v>1104</v>
      </c>
      <c r="T217" s="378" t="s">
        <v>1328</v>
      </c>
      <c r="U217" s="378" t="s">
        <v>1328</v>
      </c>
      <c r="V217" s="379" t="s">
        <v>592</v>
      </c>
      <c r="W217" s="380" t="s">
        <v>789</v>
      </c>
      <c r="X217" s="381" t="s">
        <v>925</v>
      </c>
      <c r="Y217" s="430" t="str">
        <f t="shared" si="3"/>
        <v/>
      </c>
    </row>
    <row r="218" spans="3:25" ht="17.25">
      <c r="C218" s="280"/>
      <c r="D218" s="288"/>
      <c r="S218" s="377" t="s">
        <v>1185</v>
      </c>
      <c r="T218" s="378" t="s">
        <v>1185</v>
      </c>
      <c r="U218" s="378" t="s">
        <v>1185</v>
      </c>
      <c r="V218" s="379" t="s">
        <v>689</v>
      </c>
      <c r="W218" s="380" t="s">
        <v>887</v>
      </c>
      <c r="X218" s="381" t="s">
        <v>930</v>
      </c>
      <c r="Y218" s="430" t="str">
        <f t="shared" si="3"/>
        <v/>
      </c>
    </row>
    <row r="219" spans="3:25" ht="17.25">
      <c r="C219" s="280"/>
      <c r="D219" s="288"/>
      <c r="S219" s="377" t="s">
        <v>1200</v>
      </c>
      <c r="T219" s="378" t="s">
        <v>1201</v>
      </c>
      <c r="U219" s="378" t="s">
        <v>1201</v>
      </c>
      <c r="V219" s="379" t="s">
        <v>508</v>
      </c>
      <c r="W219" s="380" t="s">
        <v>704</v>
      </c>
      <c r="X219" s="381" t="s">
        <v>932</v>
      </c>
      <c r="Y219" s="430" t="str">
        <f t="shared" si="3"/>
        <v/>
      </c>
    </row>
    <row r="220" spans="3:25" ht="17.25">
      <c r="C220" s="280"/>
      <c r="D220" s="279"/>
      <c r="S220" s="475" t="s">
        <v>1192</v>
      </c>
      <c r="T220" s="476" t="s">
        <v>1193</v>
      </c>
      <c r="U220" s="476" t="s">
        <v>1193</v>
      </c>
      <c r="V220" s="477" t="s">
        <v>690</v>
      </c>
      <c r="W220" s="380" t="s">
        <v>888</v>
      </c>
      <c r="X220" s="381" t="s">
        <v>931</v>
      </c>
      <c r="Y220" s="430" t="str">
        <f t="shared" si="3"/>
        <v/>
      </c>
    </row>
    <row r="221" spans="3:25" ht="17.25">
      <c r="C221" s="280"/>
      <c r="D221" s="289"/>
      <c r="S221" s="377" t="s">
        <v>1186</v>
      </c>
      <c r="T221" s="378" t="s">
        <v>1187</v>
      </c>
      <c r="U221" s="378" t="s">
        <v>1187</v>
      </c>
      <c r="V221" s="379" t="s">
        <v>666</v>
      </c>
      <c r="W221" s="380" t="s">
        <v>864</v>
      </c>
      <c r="X221" s="381" t="s">
        <v>929</v>
      </c>
      <c r="Y221" s="430" t="str">
        <f t="shared" si="3"/>
        <v/>
      </c>
    </row>
    <row r="222" spans="3:25" ht="17.25">
      <c r="C222" s="280"/>
      <c r="D222" s="279"/>
      <c r="S222" s="377" t="s">
        <v>1188</v>
      </c>
      <c r="T222" s="378" t="s">
        <v>1189</v>
      </c>
      <c r="U222" s="378" t="s">
        <v>1189</v>
      </c>
      <c r="V222" s="379" t="s">
        <v>614</v>
      </c>
      <c r="W222" s="380" t="s">
        <v>810</v>
      </c>
      <c r="X222" s="381" t="s">
        <v>927</v>
      </c>
      <c r="Y222" s="430" t="str">
        <f t="shared" si="3"/>
        <v/>
      </c>
    </row>
    <row r="223" spans="3:25" ht="17.25">
      <c r="C223" s="280"/>
      <c r="D223" s="279"/>
      <c r="S223" s="377" t="s">
        <v>1088</v>
      </c>
      <c r="T223" s="378" t="s">
        <v>1313</v>
      </c>
      <c r="U223" s="378" t="s">
        <v>1313</v>
      </c>
      <c r="V223" s="379" t="s">
        <v>572</v>
      </c>
      <c r="W223" s="380" t="s">
        <v>768</v>
      </c>
      <c r="X223" s="381" t="s">
        <v>257</v>
      </c>
      <c r="Y223" s="430" t="str">
        <f t="shared" si="3"/>
        <v/>
      </c>
    </row>
    <row r="224" spans="3:25" ht="17.25">
      <c r="C224" s="280"/>
      <c r="D224" s="285"/>
      <c r="S224" s="377" t="s">
        <v>1077</v>
      </c>
      <c r="T224" s="378" t="s">
        <v>1303</v>
      </c>
      <c r="U224" s="378" t="s">
        <v>1303</v>
      </c>
      <c r="V224" s="379" t="s">
        <v>559</v>
      </c>
      <c r="W224" s="380" t="s">
        <v>756</v>
      </c>
      <c r="X224" s="381" t="s">
        <v>926</v>
      </c>
      <c r="Y224" s="430" t="str">
        <f t="shared" si="3"/>
        <v/>
      </c>
    </row>
    <row r="225" spans="3:25" ht="17.25">
      <c r="C225" s="280"/>
      <c r="D225" s="279"/>
      <c r="S225" s="377" t="s">
        <v>1190</v>
      </c>
      <c r="T225" s="378" t="s">
        <v>1191</v>
      </c>
      <c r="U225" s="378" t="s">
        <v>1191</v>
      </c>
      <c r="V225" s="379" t="s">
        <v>520</v>
      </c>
      <c r="W225" s="380" t="s">
        <v>716</v>
      </c>
      <c r="X225" s="381" t="s">
        <v>928</v>
      </c>
      <c r="Y225" s="430" t="str">
        <f t="shared" si="3"/>
        <v/>
      </c>
    </row>
    <row r="226" spans="3:25" ht="17.25">
      <c r="C226" s="280"/>
      <c r="D226" s="279"/>
      <c r="S226" s="377" t="s">
        <v>1194</v>
      </c>
      <c r="T226" s="378" t="s">
        <v>1195</v>
      </c>
      <c r="U226" s="378" t="s">
        <v>1195</v>
      </c>
      <c r="V226" s="379" t="s">
        <v>658</v>
      </c>
      <c r="W226" s="380" t="s">
        <v>855</v>
      </c>
      <c r="X226" s="381" t="s">
        <v>364</v>
      </c>
      <c r="Y226" s="430" t="str">
        <f t="shared" si="3"/>
        <v/>
      </c>
    </row>
    <row r="227" spans="3:25" ht="17.25">
      <c r="C227" s="280"/>
      <c r="D227" s="290"/>
      <c r="S227" s="377" t="s">
        <v>1101</v>
      </c>
      <c r="T227" s="378" t="s">
        <v>1325</v>
      </c>
      <c r="U227" s="378" t="s">
        <v>1325</v>
      </c>
      <c r="V227" s="379" t="s">
        <v>588</v>
      </c>
      <c r="W227" s="380" t="s">
        <v>785</v>
      </c>
      <c r="X227" s="381" t="s">
        <v>1037</v>
      </c>
      <c r="Y227" s="430" t="str">
        <f t="shared" si="3"/>
        <v/>
      </c>
    </row>
    <row r="228" spans="3:25" ht="17.25">
      <c r="C228" s="280"/>
      <c r="D228" s="290"/>
      <c r="S228" s="377" t="s">
        <v>1128</v>
      </c>
      <c r="T228" s="378" t="s">
        <v>1349</v>
      </c>
      <c r="U228" s="378" t="s">
        <v>1349</v>
      </c>
      <c r="V228" s="379" t="s">
        <v>662</v>
      </c>
      <c r="W228" s="380" t="s">
        <v>859</v>
      </c>
      <c r="X228" s="381" t="s">
        <v>935</v>
      </c>
      <c r="Y228" s="430" t="str">
        <f t="shared" si="3"/>
        <v/>
      </c>
    </row>
    <row r="229" spans="3:25" ht="17.25">
      <c r="C229" s="280"/>
      <c r="D229" s="290"/>
      <c r="S229" s="377" t="s">
        <v>1196</v>
      </c>
      <c r="T229" s="378" t="s">
        <v>1197</v>
      </c>
      <c r="U229" s="378" t="s">
        <v>1197</v>
      </c>
      <c r="V229" s="379" t="s">
        <v>616</v>
      </c>
      <c r="W229" s="380" t="s">
        <v>812</v>
      </c>
      <c r="X229" s="381" t="s">
        <v>245</v>
      </c>
      <c r="Y229" s="430" t="str">
        <f t="shared" si="3"/>
        <v/>
      </c>
    </row>
    <row r="230" spans="3:25" ht="17.25">
      <c r="C230" s="280"/>
      <c r="D230" s="285"/>
      <c r="S230" s="475" t="s">
        <v>1256</v>
      </c>
      <c r="T230" s="476" t="s">
        <v>1257</v>
      </c>
      <c r="U230" s="476" t="s">
        <v>1257</v>
      </c>
      <c r="V230" s="477" t="s">
        <v>687</v>
      </c>
      <c r="W230" s="380" t="s">
        <v>885</v>
      </c>
      <c r="X230" s="381" t="s">
        <v>1258</v>
      </c>
      <c r="Y230" s="430" t="str">
        <f t="shared" ref="Y230:Y293" si="4">IF(COUNTIF(U230:U408,U230)&gt;1,"DOUBLONS","")</f>
        <v/>
      </c>
    </row>
    <row r="231" spans="3:25" ht="17.25">
      <c r="C231" s="280"/>
      <c r="D231" s="291"/>
      <c r="S231" s="377" t="s">
        <v>1198</v>
      </c>
      <c r="T231" s="378" t="s">
        <v>1199</v>
      </c>
      <c r="U231" s="378" t="s">
        <v>1199</v>
      </c>
      <c r="V231" s="379" t="s">
        <v>642</v>
      </c>
      <c r="W231" s="380" t="s">
        <v>839</v>
      </c>
      <c r="X231" s="381" t="s">
        <v>938</v>
      </c>
      <c r="Y231" s="430" t="str">
        <f t="shared" si="4"/>
        <v/>
      </c>
    </row>
    <row r="232" spans="3:25" ht="17.25">
      <c r="C232" s="292"/>
      <c r="D232" s="288"/>
      <c r="S232" s="377" t="s">
        <v>1202</v>
      </c>
      <c r="T232" s="378" t="s">
        <v>1202</v>
      </c>
      <c r="U232" s="378" t="s">
        <v>1202</v>
      </c>
      <c r="V232" s="379" t="s">
        <v>638</v>
      </c>
      <c r="W232" s="380" t="s">
        <v>835</v>
      </c>
      <c r="X232" s="381" t="s">
        <v>933</v>
      </c>
      <c r="Y232" s="430" t="str">
        <f t="shared" si="4"/>
        <v/>
      </c>
    </row>
    <row r="233" spans="3:25" ht="17.25">
      <c r="C233" s="280"/>
      <c r="D233" s="293"/>
      <c r="S233" s="377" t="s">
        <v>1205</v>
      </c>
      <c r="T233" s="378" t="s">
        <v>1205</v>
      </c>
      <c r="U233" s="378" t="s">
        <v>1205</v>
      </c>
      <c r="V233" s="379" t="s">
        <v>677</v>
      </c>
      <c r="W233" s="380" t="s">
        <v>875</v>
      </c>
      <c r="X233" s="381" t="s">
        <v>934</v>
      </c>
      <c r="Y233" s="430" t="str">
        <f t="shared" si="4"/>
        <v/>
      </c>
    </row>
    <row r="234" spans="3:25" ht="17.25">
      <c r="C234" s="280"/>
      <c r="D234" s="294"/>
      <c r="S234" s="377" t="s">
        <v>1060</v>
      </c>
      <c r="T234" s="378" t="s">
        <v>1288</v>
      </c>
      <c r="U234" s="378" t="s">
        <v>1288</v>
      </c>
      <c r="V234" s="379" t="s">
        <v>534</v>
      </c>
      <c r="W234" s="380" t="s">
        <v>730</v>
      </c>
      <c r="X234" s="381" t="s">
        <v>308</v>
      </c>
      <c r="Y234" s="430" t="str">
        <f t="shared" si="4"/>
        <v/>
      </c>
    </row>
    <row r="235" spans="3:25" ht="17.25">
      <c r="C235" s="280"/>
      <c r="D235" s="294"/>
      <c r="S235" s="377" t="s">
        <v>1364</v>
      </c>
      <c r="T235" s="378" t="s">
        <v>1365</v>
      </c>
      <c r="U235" s="378" t="s">
        <v>1365</v>
      </c>
      <c r="V235" s="379" t="s">
        <v>515</v>
      </c>
      <c r="W235" s="380" t="s">
        <v>711</v>
      </c>
      <c r="X235" s="381" t="s">
        <v>937</v>
      </c>
      <c r="Y235" s="430" t="str">
        <f t="shared" si="4"/>
        <v/>
      </c>
    </row>
    <row r="236" spans="3:25">
      <c r="C236" s="56"/>
      <c r="D236" s="56"/>
      <c r="S236" s="377" t="s">
        <v>1126</v>
      </c>
      <c r="T236" s="378" t="s">
        <v>1126</v>
      </c>
      <c r="U236" s="378" t="s">
        <v>1126</v>
      </c>
      <c r="V236" s="379" t="s">
        <v>656</v>
      </c>
      <c r="W236" s="380" t="s">
        <v>853</v>
      </c>
      <c r="X236" s="381" t="s">
        <v>939</v>
      </c>
      <c r="Y236" s="430" t="str">
        <f t="shared" si="4"/>
        <v/>
      </c>
    </row>
    <row r="237" spans="3:25">
      <c r="C237" s="56"/>
      <c r="D237" s="56"/>
      <c r="S237" s="377" t="s">
        <v>1226</v>
      </c>
      <c r="T237" s="378" t="s">
        <v>1227</v>
      </c>
      <c r="U237" s="378" t="s">
        <v>1227</v>
      </c>
      <c r="V237" s="379" t="s">
        <v>594</v>
      </c>
      <c r="W237" s="380" t="s">
        <v>791</v>
      </c>
      <c r="X237" s="381" t="s">
        <v>940</v>
      </c>
      <c r="Y237" s="430" t="str">
        <f t="shared" si="4"/>
        <v/>
      </c>
    </row>
    <row r="238" spans="3:25">
      <c r="C238" s="405"/>
      <c r="D238" s="405"/>
      <c r="S238" s="377" t="s">
        <v>1063</v>
      </c>
      <c r="T238" s="378" t="s">
        <v>1290</v>
      </c>
      <c r="U238" s="378" t="s">
        <v>1290</v>
      </c>
      <c r="V238" s="379" t="s">
        <v>537</v>
      </c>
      <c r="W238" s="380" t="s">
        <v>733</v>
      </c>
      <c r="X238" s="381" t="s">
        <v>941</v>
      </c>
      <c r="Y238" s="430" t="str">
        <f t="shared" si="4"/>
        <v/>
      </c>
    </row>
    <row r="239" spans="3:25">
      <c r="C239" s="406"/>
      <c r="D239" s="406"/>
      <c r="S239" s="377" t="s">
        <v>1065</v>
      </c>
      <c r="T239" s="378" t="s">
        <v>1065</v>
      </c>
      <c r="U239" s="378" t="s">
        <v>1065</v>
      </c>
      <c r="V239" s="379" t="s">
        <v>542</v>
      </c>
      <c r="W239" s="380" t="s">
        <v>738</v>
      </c>
      <c r="X239" s="381" t="s">
        <v>942</v>
      </c>
      <c r="Y239" s="430" t="str">
        <f t="shared" si="4"/>
        <v/>
      </c>
    </row>
    <row r="240" spans="3:25">
      <c r="C240" s="406"/>
      <c r="D240" s="406"/>
      <c r="S240" s="377" t="s">
        <v>1093</v>
      </c>
      <c r="T240" s="378" t="s">
        <v>1318</v>
      </c>
      <c r="U240" s="378" t="s">
        <v>1318</v>
      </c>
      <c r="V240" s="379" t="s">
        <v>579</v>
      </c>
      <c r="W240" s="380" t="s">
        <v>776</v>
      </c>
      <c r="X240" s="381" t="s">
        <v>943</v>
      </c>
      <c r="Y240" s="430" t="str">
        <f t="shared" si="4"/>
        <v/>
      </c>
    </row>
    <row r="241" spans="3:25">
      <c r="C241" s="406"/>
      <c r="D241" s="406"/>
      <c r="S241" s="377" t="s">
        <v>1245</v>
      </c>
      <c r="T241" s="378" t="s">
        <v>1246</v>
      </c>
      <c r="U241" s="378" t="s">
        <v>1246</v>
      </c>
      <c r="V241" s="379" t="s">
        <v>628</v>
      </c>
      <c r="W241" s="380" t="s">
        <v>823</v>
      </c>
      <c r="X241" s="381" t="s">
        <v>1247</v>
      </c>
      <c r="Y241" s="430" t="str">
        <f t="shared" si="4"/>
        <v/>
      </c>
    </row>
    <row r="242" spans="3:25">
      <c r="C242" s="406"/>
      <c r="D242" s="406"/>
      <c r="S242" s="377" t="s">
        <v>1261</v>
      </c>
      <c r="T242" s="378" t="s">
        <v>1262</v>
      </c>
      <c r="U242" s="378" t="s">
        <v>1262</v>
      </c>
      <c r="V242" s="379" t="s">
        <v>613</v>
      </c>
      <c r="W242" s="380" t="s">
        <v>809</v>
      </c>
      <c r="X242" s="381" t="s">
        <v>954</v>
      </c>
      <c r="Y242" s="430" t="str">
        <f t="shared" si="4"/>
        <v/>
      </c>
    </row>
    <row r="243" spans="3:25">
      <c r="C243" s="406"/>
      <c r="D243" s="406"/>
      <c r="S243" s="377" t="s">
        <v>1371</v>
      </c>
      <c r="T243" s="378" t="s">
        <v>1371</v>
      </c>
      <c r="U243" s="378" t="s">
        <v>1371</v>
      </c>
      <c r="V243" s="379" t="s">
        <v>698</v>
      </c>
      <c r="W243" s="380" t="s">
        <v>896</v>
      </c>
      <c r="X243" s="381" t="s">
        <v>1043</v>
      </c>
      <c r="Y243" s="430" t="str">
        <f t="shared" si="4"/>
        <v/>
      </c>
    </row>
    <row r="244" spans="3:25">
      <c r="C244" s="406"/>
      <c r="D244" s="406"/>
      <c r="S244" s="377" t="s">
        <v>1218</v>
      </c>
      <c r="T244" s="378" t="s">
        <v>1219</v>
      </c>
      <c r="U244" s="378" t="s">
        <v>1219</v>
      </c>
      <c r="V244" s="379" t="s">
        <v>576</v>
      </c>
      <c r="W244" s="380" t="s">
        <v>772</v>
      </c>
      <c r="X244" s="381" t="s">
        <v>953</v>
      </c>
      <c r="Y244" s="430" t="str">
        <f t="shared" si="4"/>
        <v/>
      </c>
    </row>
    <row r="245" spans="3:25">
      <c r="C245" s="406"/>
      <c r="D245" s="406"/>
      <c r="S245" s="377" t="s">
        <v>1125</v>
      </c>
      <c r="T245" s="378" t="s">
        <v>1348</v>
      </c>
      <c r="U245" s="378" t="s">
        <v>1348</v>
      </c>
      <c r="V245" s="379" t="s">
        <v>653</v>
      </c>
      <c r="W245" s="380" t="s">
        <v>850</v>
      </c>
      <c r="X245" s="381" t="s">
        <v>944</v>
      </c>
      <c r="Y245" s="430" t="str">
        <f t="shared" si="4"/>
        <v/>
      </c>
    </row>
    <row r="246" spans="3:25">
      <c r="C246" s="406"/>
      <c r="D246" s="406"/>
      <c r="S246" s="377" t="s">
        <v>1079</v>
      </c>
      <c r="T246" s="378" t="s">
        <v>1305</v>
      </c>
      <c r="U246" s="378" t="s">
        <v>1305</v>
      </c>
      <c r="V246" s="379" t="s">
        <v>562</v>
      </c>
      <c r="W246" s="380" t="s">
        <v>759</v>
      </c>
      <c r="X246" s="381" t="s">
        <v>951</v>
      </c>
      <c r="Y246" s="430" t="str">
        <f t="shared" si="4"/>
        <v/>
      </c>
    </row>
    <row r="247" spans="3:25">
      <c r="C247" s="406"/>
      <c r="D247" s="406"/>
      <c r="S247" s="377" t="s">
        <v>1103</v>
      </c>
      <c r="T247" s="378" t="s">
        <v>1327</v>
      </c>
      <c r="U247" s="378" t="s">
        <v>1327</v>
      </c>
      <c r="V247" s="379" t="s">
        <v>590</v>
      </c>
      <c r="W247" s="380" t="s">
        <v>787</v>
      </c>
      <c r="X247" s="381" t="s">
        <v>945</v>
      </c>
      <c r="Y247" s="430" t="str">
        <f t="shared" si="4"/>
        <v/>
      </c>
    </row>
    <row r="248" spans="3:25">
      <c r="C248" s="406"/>
      <c r="D248" s="406"/>
      <c r="S248" s="377" t="s">
        <v>1082</v>
      </c>
      <c r="T248" s="378" t="s">
        <v>1308</v>
      </c>
      <c r="U248" s="378" t="s">
        <v>1308</v>
      </c>
      <c r="V248" s="379" t="s">
        <v>566</v>
      </c>
      <c r="W248" s="380" t="s">
        <v>762</v>
      </c>
      <c r="X248" s="381" t="s">
        <v>950</v>
      </c>
      <c r="Y248" s="430" t="str">
        <f t="shared" si="4"/>
        <v/>
      </c>
    </row>
    <row r="249" spans="3:25">
      <c r="C249" s="406"/>
      <c r="D249" s="406"/>
      <c r="S249" s="377" t="s">
        <v>1214</v>
      </c>
      <c r="T249" s="378" t="s">
        <v>1215</v>
      </c>
      <c r="U249" s="378" t="s">
        <v>1215</v>
      </c>
      <c r="V249" s="379" t="s">
        <v>676</v>
      </c>
      <c r="W249" s="380" t="s">
        <v>874</v>
      </c>
      <c r="X249" s="381" t="s">
        <v>948</v>
      </c>
      <c r="Y249" s="430" t="str">
        <f t="shared" si="4"/>
        <v/>
      </c>
    </row>
    <row r="250" spans="3:25">
      <c r="C250" s="406"/>
      <c r="D250" s="406"/>
      <c r="S250" s="377" t="s">
        <v>1266</v>
      </c>
      <c r="T250" s="378" t="s">
        <v>1266</v>
      </c>
      <c r="U250" s="378" t="s">
        <v>1266</v>
      </c>
      <c r="V250" s="379" t="s">
        <v>546</v>
      </c>
      <c r="W250" s="380" t="s">
        <v>742</v>
      </c>
      <c r="X250" s="381" t="s">
        <v>949</v>
      </c>
      <c r="Y250" s="430" t="str">
        <f t="shared" si="4"/>
        <v/>
      </c>
    </row>
    <row r="251" spans="3:25">
      <c r="C251" s="406"/>
      <c r="D251" s="406"/>
      <c r="S251" s="377" t="s">
        <v>1099</v>
      </c>
      <c r="T251" s="378" t="s">
        <v>1323</v>
      </c>
      <c r="U251" s="378" t="s">
        <v>1323</v>
      </c>
      <c r="V251" s="379" t="s">
        <v>586</v>
      </c>
      <c r="W251" s="380" t="s">
        <v>783</v>
      </c>
      <c r="X251" s="381" t="s">
        <v>250</v>
      </c>
      <c r="Y251" s="430" t="str">
        <f t="shared" si="4"/>
        <v/>
      </c>
    </row>
    <row r="252" spans="3:25">
      <c r="C252" s="406"/>
      <c r="D252" s="406"/>
      <c r="S252" s="377" t="s">
        <v>1073</v>
      </c>
      <c r="T252" s="378" t="s">
        <v>1300</v>
      </c>
      <c r="U252" s="378" t="s">
        <v>1300</v>
      </c>
      <c r="V252" s="379" t="s">
        <v>556</v>
      </c>
      <c r="W252" s="380" t="s">
        <v>752</v>
      </c>
      <c r="X252" s="381" t="s">
        <v>946</v>
      </c>
      <c r="Y252" s="430" t="str">
        <f t="shared" si="4"/>
        <v/>
      </c>
    </row>
    <row r="253" spans="3:25">
      <c r="C253" s="406"/>
      <c r="D253" s="406"/>
      <c r="S253" s="377" t="s">
        <v>1267</v>
      </c>
      <c r="T253" s="378" t="s">
        <v>1267</v>
      </c>
      <c r="U253" s="378" t="s">
        <v>1267</v>
      </c>
      <c r="V253" s="379" t="s">
        <v>533</v>
      </c>
      <c r="W253" s="380" t="s">
        <v>729</v>
      </c>
      <c r="X253" s="381"/>
      <c r="Y253" s="430" t="str">
        <f t="shared" si="4"/>
        <v/>
      </c>
    </row>
    <row r="254" spans="3:25">
      <c r="C254" s="406"/>
      <c r="D254" s="406"/>
      <c r="S254" s="377" t="s">
        <v>1216</v>
      </c>
      <c r="T254" s="378" t="s">
        <v>1217</v>
      </c>
      <c r="U254" s="378" t="s">
        <v>1217</v>
      </c>
      <c r="V254" s="379" t="s">
        <v>665</v>
      </c>
      <c r="W254" s="380" t="s">
        <v>863</v>
      </c>
      <c r="X254" s="381" t="s">
        <v>380</v>
      </c>
      <c r="Y254" s="430" t="str">
        <f t="shared" si="4"/>
        <v/>
      </c>
    </row>
    <row r="255" spans="3:25">
      <c r="C255" s="406"/>
      <c r="D255" s="406"/>
      <c r="S255" s="377" t="s">
        <v>1107</v>
      </c>
      <c r="T255" s="378" t="s">
        <v>1330</v>
      </c>
      <c r="U255" s="378" t="s">
        <v>1330</v>
      </c>
      <c r="V255" s="379" t="s">
        <v>600</v>
      </c>
      <c r="W255" s="380" t="s">
        <v>796</v>
      </c>
      <c r="X255" s="381" t="s">
        <v>1045</v>
      </c>
      <c r="Y255" s="430" t="str">
        <f t="shared" si="4"/>
        <v/>
      </c>
    </row>
    <row r="256" spans="3:25">
      <c r="C256" s="406"/>
      <c r="D256" s="406"/>
      <c r="S256" s="377" t="s">
        <v>1056</v>
      </c>
      <c r="T256" s="378" t="s">
        <v>1284</v>
      </c>
      <c r="U256" s="378" t="s">
        <v>1284</v>
      </c>
      <c r="V256" s="379" t="s">
        <v>521</v>
      </c>
      <c r="W256" s="380" t="s">
        <v>717</v>
      </c>
      <c r="X256" s="381" t="s">
        <v>947</v>
      </c>
      <c r="Y256" s="430" t="str">
        <f t="shared" si="4"/>
        <v/>
      </c>
    </row>
    <row r="257" spans="3:25">
      <c r="C257" s="406"/>
      <c r="D257" s="406"/>
      <c r="S257" s="377" t="s">
        <v>525</v>
      </c>
      <c r="T257" s="378" t="s">
        <v>525</v>
      </c>
      <c r="U257" s="378" t="s">
        <v>525</v>
      </c>
      <c r="V257" s="379" t="s">
        <v>525</v>
      </c>
      <c r="W257" s="380" t="s">
        <v>721</v>
      </c>
      <c r="X257" s="381" t="s">
        <v>990</v>
      </c>
      <c r="Y257" s="430" t="str">
        <f t="shared" si="4"/>
        <v/>
      </c>
    </row>
    <row r="258" spans="3:25">
      <c r="C258" s="406"/>
      <c r="D258" s="406"/>
      <c r="S258" s="377" t="s">
        <v>1234</v>
      </c>
      <c r="T258" s="378" t="s">
        <v>1235</v>
      </c>
      <c r="U258" s="378" t="s">
        <v>1235</v>
      </c>
      <c r="V258" s="379" t="s">
        <v>1233</v>
      </c>
      <c r="W258" s="380" t="s">
        <v>832</v>
      </c>
      <c r="X258" s="381" t="s">
        <v>952</v>
      </c>
      <c r="Y258" s="430" t="str">
        <f t="shared" si="4"/>
        <v/>
      </c>
    </row>
    <row r="259" spans="3:25">
      <c r="C259" s="406"/>
      <c r="D259" s="406"/>
      <c r="S259" s="377" t="s">
        <v>1220</v>
      </c>
      <c r="T259" s="378" t="s">
        <v>1221</v>
      </c>
      <c r="U259" s="378" t="s">
        <v>1221</v>
      </c>
      <c r="V259" s="379" t="s">
        <v>602</v>
      </c>
      <c r="W259" s="380" t="s">
        <v>798</v>
      </c>
      <c r="X259" s="381" t="s">
        <v>956</v>
      </c>
      <c r="Y259" s="430" t="str">
        <f t="shared" si="4"/>
        <v/>
      </c>
    </row>
    <row r="260" spans="3:25">
      <c r="C260" s="406"/>
      <c r="D260" s="406"/>
      <c r="S260" s="377" t="s">
        <v>1121</v>
      </c>
      <c r="T260" s="378" t="s">
        <v>1344</v>
      </c>
      <c r="U260" s="378" t="s">
        <v>1344</v>
      </c>
      <c r="V260" s="379" t="s">
        <v>648</v>
      </c>
      <c r="W260" s="380" t="s">
        <v>845</v>
      </c>
      <c r="X260" s="381" t="s">
        <v>955</v>
      </c>
      <c r="Y260" s="430" t="str">
        <f t="shared" si="4"/>
        <v/>
      </c>
    </row>
    <row r="261" spans="3:25">
      <c r="C261" s="406"/>
      <c r="D261" s="406"/>
      <c r="S261" s="377" t="s">
        <v>1137</v>
      </c>
      <c r="T261" s="378" t="s">
        <v>1361</v>
      </c>
      <c r="U261" s="378" t="s">
        <v>1361</v>
      </c>
      <c r="V261" s="379" t="s">
        <v>683</v>
      </c>
      <c r="W261" s="380" t="s">
        <v>881</v>
      </c>
      <c r="X261" s="381" t="s">
        <v>1034</v>
      </c>
      <c r="Y261" s="430" t="str">
        <f t="shared" si="4"/>
        <v/>
      </c>
    </row>
    <row r="262" spans="3:25">
      <c r="C262" s="406"/>
      <c r="D262" s="406"/>
      <c r="S262" s="377" t="s">
        <v>1102</v>
      </c>
      <c r="T262" s="378" t="s">
        <v>1326</v>
      </c>
      <c r="U262" s="378" t="s">
        <v>1326</v>
      </c>
      <c r="V262" s="379" t="s">
        <v>589</v>
      </c>
      <c r="W262" s="380" t="s">
        <v>786</v>
      </c>
      <c r="X262" s="381" t="s">
        <v>1035</v>
      </c>
      <c r="Y262" s="430" t="str">
        <f t="shared" si="4"/>
        <v/>
      </c>
    </row>
    <row r="263" spans="3:25">
      <c r="C263" s="406"/>
      <c r="D263" s="406"/>
      <c r="S263" s="377" t="s">
        <v>1078</v>
      </c>
      <c r="T263" s="378" t="s">
        <v>1304</v>
      </c>
      <c r="U263" s="378" t="s">
        <v>1304</v>
      </c>
      <c r="V263" s="379" t="s">
        <v>560</v>
      </c>
      <c r="W263" s="380" t="s">
        <v>757</v>
      </c>
      <c r="X263" s="381" t="s">
        <v>957</v>
      </c>
      <c r="Y263" s="430" t="str">
        <f t="shared" si="4"/>
        <v/>
      </c>
    </row>
    <row r="264" spans="3:25">
      <c r="C264" s="406"/>
      <c r="D264" s="406"/>
      <c r="S264" s="475" t="s">
        <v>1061</v>
      </c>
      <c r="T264" s="476" t="s">
        <v>1061</v>
      </c>
      <c r="U264" s="476" t="s">
        <v>1061</v>
      </c>
      <c r="V264" s="477" t="s">
        <v>535</v>
      </c>
      <c r="W264" s="380" t="s">
        <v>731</v>
      </c>
      <c r="X264" s="381" t="s">
        <v>1374</v>
      </c>
      <c r="Y264" s="430" t="str">
        <f t="shared" si="4"/>
        <v/>
      </c>
    </row>
    <row r="265" spans="3:25">
      <c r="C265" s="406"/>
      <c r="D265" s="406"/>
      <c r="S265" s="377" t="s">
        <v>1130</v>
      </c>
      <c r="T265" s="378" t="s">
        <v>1353</v>
      </c>
      <c r="U265" s="378" t="s">
        <v>1353</v>
      </c>
      <c r="V265" s="379" t="s">
        <v>669</v>
      </c>
      <c r="W265" s="380" t="s">
        <v>867</v>
      </c>
      <c r="X265" s="381" t="s">
        <v>270</v>
      </c>
      <c r="Y265" s="430" t="str">
        <f t="shared" si="4"/>
        <v/>
      </c>
    </row>
    <row r="266" spans="3:25">
      <c r="C266" s="406"/>
      <c r="D266" s="406"/>
      <c r="S266" s="377" t="s">
        <v>1086</v>
      </c>
      <c r="T266" s="378" t="s">
        <v>1311</v>
      </c>
      <c r="U266" s="378" t="s">
        <v>1311</v>
      </c>
      <c r="V266" s="379" t="s">
        <v>570</v>
      </c>
      <c r="W266" s="380" t="s">
        <v>766</v>
      </c>
      <c r="X266" s="381" t="s">
        <v>958</v>
      </c>
      <c r="Y266" s="430" t="str">
        <f t="shared" si="4"/>
        <v/>
      </c>
    </row>
    <row r="267" spans="3:25">
      <c r="C267" s="406"/>
      <c r="D267" s="406"/>
      <c r="S267" s="377" t="s">
        <v>1248</v>
      </c>
      <c r="T267" s="378" t="s">
        <v>1249</v>
      </c>
      <c r="U267" s="378" t="s">
        <v>1249</v>
      </c>
      <c r="V267" s="379" t="s">
        <v>697</v>
      </c>
      <c r="W267" s="380" t="s">
        <v>895</v>
      </c>
      <c r="X267" s="381" t="s">
        <v>960</v>
      </c>
      <c r="Y267" s="430" t="str">
        <f t="shared" si="4"/>
        <v/>
      </c>
    </row>
    <row r="268" spans="3:25">
      <c r="C268" s="406"/>
      <c r="D268" s="406"/>
      <c r="S268" s="377" t="s">
        <v>1070</v>
      </c>
      <c r="T268" s="378" t="s">
        <v>1297</v>
      </c>
      <c r="U268" s="378" t="s">
        <v>1297</v>
      </c>
      <c r="V268" s="379" t="s">
        <v>553</v>
      </c>
      <c r="W268" s="380" t="s">
        <v>749</v>
      </c>
      <c r="X268" s="381" t="s">
        <v>959</v>
      </c>
      <c r="Y268" s="430" t="str">
        <f t="shared" si="4"/>
        <v/>
      </c>
    </row>
    <row r="269" spans="3:25">
      <c r="C269" s="406"/>
      <c r="D269" s="406"/>
      <c r="S269" s="377" t="s">
        <v>1241</v>
      </c>
      <c r="T269" s="378" t="s">
        <v>1241</v>
      </c>
      <c r="U269" s="378" t="s">
        <v>1241</v>
      </c>
      <c r="V269" s="379" t="s">
        <v>621</v>
      </c>
      <c r="W269" s="380" t="s">
        <v>816</v>
      </c>
      <c r="X269" s="381" t="s">
        <v>1242</v>
      </c>
      <c r="Y269" s="430" t="str">
        <f t="shared" si="4"/>
        <v/>
      </c>
    </row>
    <row r="270" spans="3:25">
      <c r="C270" s="406"/>
      <c r="D270" s="406"/>
      <c r="S270" s="377" t="s">
        <v>1208</v>
      </c>
      <c r="T270" s="378" t="s">
        <v>1209</v>
      </c>
      <c r="U270" s="378" t="s">
        <v>1209</v>
      </c>
      <c r="V270" s="379" t="s">
        <v>531</v>
      </c>
      <c r="W270" s="380" t="s">
        <v>727</v>
      </c>
      <c r="X270" s="381" t="s">
        <v>961</v>
      </c>
      <c r="Y270" s="430" t="str">
        <f t="shared" si="4"/>
        <v/>
      </c>
    </row>
    <row r="271" spans="3:25">
      <c r="C271" s="406"/>
      <c r="D271" s="406"/>
      <c r="S271" s="377" t="s">
        <v>1206</v>
      </c>
      <c r="T271" s="378" t="s">
        <v>1207</v>
      </c>
      <c r="U271" s="378" t="s">
        <v>1207</v>
      </c>
      <c r="V271" s="379" t="s">
        <v>540</v>
      </c>
      <c r="W271" s="380" t="s">
        <v>736</v>
      </c>
      <c r="X271" s="381" t="s">
        <v>1036</v>
      </c>
      <c r="Y271" s="430" t="str">
        <f t="shared" si="4"/>
        <v/>
      </c>
    </row>
    <row r="272" spans="3:25">
      <c r="C272" s="406"/>
      <c r="D272" s="406"/>
      <c r="S272" s="377" t="s">
        <v>1203</v>
      </c>
      <c r="T272" s="378" t="s">
        <v>1204</v>
      </c>
      <c r="U272" s="378" t="s">
        <v>1204</v>
      </c>
      <c r="V272" s="379" t="s">
        <v>643</v>
      </c>
      <c r="W272" s="380" t="s">
        <v>840</v>
      </c>
      <c r="X272" s="381" t="s">
        <v>1039</v>
      </c>
      <c r="Y272" s="430" t="str">
        <f t="shared" si="4"/>
        <v/>
      </c>
    </row>
    <row r="273" spans="3:25">
      <c r="C273" s="406"/>
      <c r="D273" s="406"/>
      <c r="S273" s="377" t="s">
        <v>1254</v>
      </c>
      <c r="T273" s="378" t="s">
        <v>1255</v>
      </c>
      <c r="U273" s="378" t="s">
        <v>1255</v>
      </c>
      <c r="V273" s="379" t="s">
        <v>528</v>
      </c>
      <c r="W273" s="380" t="s">
        <v>724</v>
      </c>
      <c r="X273" s="381" t="s">
        <v>1040</v>
      </c>
      <c r="Y273" s="430" t="str">
        <f t="shared" si="4"/>
        <v/>
      </c>
    </row>
    <row r="274" spans="3:25">
      <c r="C274" s="406"/>
      <c r="D274" s="406"/>
      <c r="S274" s="377" t="s">
        <v>1372</v>
      </c>
      <c r="T274" s="378" t="s">
        <v>1373</v>
      </c>
      <c r="U274" s="378" t="s">
        <v>1373</v>
      </c>
      <c r="V274" s="379" t="s">
        <v>634</v>
      </c>
      <c r="W274" s="380" t="s">
        <v>830</v>
      </c>
      <c r="X274" s="381" t="s">
        <v>1041</v>
      </c>
      <c r="Y274" s="430" t="str">
        <f t="shared" si="4"/>
        <v/>
      </c>
    </row>
    <row r="275" spans="3:25">
      <c r="C275" s="406"/>
      <c r="D275" s="406"/>
      <c r="S275" s="377" t="s">
        <v>1131</v>
      </c>
      <c r="T275" s="378" t="s">
        <v>1354</v>
      </c>
      <c r="U275" s="378" t="s">
        <v>1354</v>
      </c>
      <c r="V275" s="379" t="s">
        <v>671</v>
      </c>
      <c r="W275" s="380" t="s">
        <v>869</v>
      </c>
      <c r="X275" s="381" t="s">
        <v>1042</v>
      </c>
      <c r="Y275" s="430" t="str">
        <f t="shared" si="4"/>
        <v/>
      </c>
    </row>
    <row r="276" spans="3:25">
      <c r="C276" s="406"/>
      <c r="D276" s="406"/>
      <c r="S276" s="475" t="s">
        <v>1127</v>
      </c>
      <c r="T276" s="476" t="s">
        <v>1127</v>
      </c>
      <c r="U276" s="476" t="s">
        <v>1127</v>
      </c>
      <c r="V276" s="477" t="s">
        <v>659</v>
      </c>
      <c r="W276" s="394" t="s">
        <v>856</v>
      </c>
      <c r="X276" s="395" t="s">
        <v>1044</v>
      </c>
      <c r="Y276" s="430" t="str">
        <f t="shared" si="4"/>
        <v>DOUBLONS</v>
      </c>
    </row>
    <row r="277" spans="3:25">
      <c r="C277" s="406"/>
      <c r="D277" s="406"/>
      <c r="S277" s="475" t="s">
        <v>1127</v>
      </c>
      <c r="T277" s="476" t="s">
        <v>1127</v>
      </c>
      <c r="U277" s="476" t="s">
        <v>1127</v>
      </c>
      <c r="V277" s="477" t="s">
        <v>660</v>
      </c>
      <c r="W277" s="394" t="s">
        <v>857</v>
      </c>
      <c r="X277" s="395" t="s">
        <v>1045</v>
      </c>
      <c r="Y277" s="430" t="str">
        <f t="shared" si="4"/>
        <v/>
      </c>
    </row>
    <row r="278" spans="3:25">
      <c r="C278" s="406"/>
      <c r="D278" s="406"/>
      <c r="S278" s="377" t="s">
        <v>1059</v>
      </c>
      <c r="T278" s="378" t="s">
        <v>1059</v>
      </c>
      <c r="U278" s="378" t="s">
        <v>1059</v>
      </c>
      <c r="V278" s="379" t="s">
        <v>530</v>
      </c>
      <c r="W278" s="380" t="s">
        <v>726</v>
      </c>
      <c r="X278" s="381" t="s">
        <v>1047</v>
      </c>
      <c r="Y278" s="430" t="str">
        <f t="shared" si="4"/>
        <v/>
      </c>
    </row>
    <row r="279" spans="3:25">
      <c r="C279" s="406"/>
      <c r="D279" s="406"/>
      <c r="S279" s="377" t="s">
        <v>1106</v>
      </c>
      <c r="T279" s="378" t="s">
        <v>1329</v>
      </c>
      <c r="U279" s="378" t="s">
        <v>1329</v>
      </c>
      <c r="V279" s="379" t="s">
        <v>598</v>
      </c>
      <c r="W279" s="380" t="s">
        <v>795</v>
      </c>
      <c r="X279" s="381" t="s">
        <v>335</v>
      </c>
      <c r="Y279" s="430" t="str">
        <f t="shared" si="4"/>
        <v/>
      </c>
    </row>
    <row r="280" spans="3:25">
      <c r="C280" s="406"/>
      <c r="D280" s="406"/>
      <c r="S280" s="377"/>
      <c r="T280" s="378"/>
      <c r="U280" s="378"/>
      <c r="V280" s="379" t="s">
        <v>519</v>
      </c>
      <c r="W280" s="380" t="s">
        <v>715</v>
      </c>
      <c r="X280" s="381"/>
      <c r="Y280" s="430" t="str">
        <f t="shared" si="4"/>
        <v/>
      </c>
    </row>
    <row r="281" spans="3:25">
      <c r="C281" s="406"/>
      <c r="D281" s="406"/>
      <c r="S281" s="377"/>
      <c r="T281" s="378"/>
      <c r="U281" s="378"/>
      <c r="V281" s="379" t="s">
        <v>581</v>
      </c>
      <c r="W281" s="380" t="s">
        <v>778</v>
      </c>
      <c r="X281" s="381"/>
      <c r="Y281" s="430" t="str">
        <f t="shared" si="4"/>
        <v/>
      </c>
    </row>
    <row r="282" spans="3:25">
      <c r="C282" s="406"/>
      <c r="D282" s="406"/>
      <c r="S282" s="377"/>
      <c r="T282" s="378"/>
      <c r="U282" s="378"/>
      <c r="V282" s="379" t="s">
        <v>591</v>
      </c>
      <c r="W282" s="380" t="s">
        <v>788</v>
      </c>
      <c r="X282" s="381"/>
      <c r="Y282" s="430" t="str">
        <f t="shared" si="4"/>
        <v/>
      </c>
    </row>
    <row r="283" spans="3:25">
      <c r="C283" s="406"/>
      <c r="D283" s="406"/>
      <c r="S283" s="377"/>
      <c r="T283" s="378"/>
      <c r="U283" s="378"/>
      <c r="V283" s="379" t="s">
        <v>607</v>
      </c>
      <c r="W283" s="380" t="s">
        <v>803</v>
      </c>
      <c r="X283" s="381" t="s">
        <v>936</v>
      </c>
      <c r="Y283" s="430" t="str">
        <f t="shared" si="4"/>
        <v/>
      </c>
    </row>
    <row r="284" spans="3:25">
      <c r="S284" s="377"/>
      <c r="T284" s="378"/>
      <c r="U284" s="378"/>
      <c r="V284" s="379" t="s">
        <v>609</v>
      </c>
      <c r="W284" s="380" t="s">
        <v>805</v>
      </c>
      <c r="X284" s="381" t="s">
        <v>275</v>
      </c>
      <c r="Y284" s="430" t="str">
        <f t="shared" si="4"/>
        <v/>
      </c>
    </row>
    <row r="285" spans="3:25">
      <c r="S285" s="377"/>
      <c r="T285" s="378"/>
      <c r="U285" s="378"/>
      <c r="V285" s="379" t="s">
        <v>617</v>
      </c>
      <c r="W285" s="380" t="s">
        <v>813</v>
      </c>
      <c r="X285" s="381" t="s">
        <v>245</v>
      </c>
      <c r="Y285" s="430" t="str">
        <f t="shared" si="4"/>
        <v/>
      </c>
    </row>
    <row r="286" spans="3:25">
      <c r="S286" s="377" t="s">
        <v>16</v>
      </c>
      <c r="T286" s="378"/>
      <c r="U286" s="378"/>
      <c r="V286" s="379" t="s">
        <v>623</v>
      </c>
      <c r="W286" s="380" t="s">
        <v>818</v>
      </c>
      <c r="X286" s="381" t="s">
        <v>1243</v>
      </c>
      <c r="Y286" s="430" t="str">
        <f t="shared" si="4"/>
        <v/>
      </c>
    </row>
    <row r="287" spans="3:25">
      <c r="S287" s="377" t="s">
        <v>16</v>
      </c>
      <c r="T287" s="378"/>
      <c r="U287" s="378"/>
      <c r="V287" s="379" t="s">
        <v>626</v>
      </c>
      <c r="W287" s="380" t="s">
        <v>821</v>
      </c>
      <c r="X287" s="381" t="s">
        <v>1244</v>
      </c>
      <c r="Y287" s="430" t="str">
        <f t="shared" si="4"/>
        <v/>
      </c>
    </row>
    <row r="288" spans="3:25">
      <c r="S288" s="377"/>
      <c r="T288" s="378"/>
      <c r="U288" s="378"/>
      <c r="V288" s="379" t="s">
        <v>630</v>
      </c>
      <c r="W288" s="380" t="s">
        <v>826</v>
      </c>
      <c r="X288" s="381" t="s">
        <v>1033</v>
      </c>
      <c r="Y288" s="430" t="str">
        <f t="shared" si="4"/>
        <v/>
      </c>
    </row>
    <row r="289" spans="19:25">
      <c r="S289" s="377"/>
      <c r="T289" s="378"/>
      <c r="U289" s="378"/>
      <c r="V289" s="379" t="s">
        <v>632</v>
      </c>
      <c r="W289" s="380" t="s">
        <v>828</v>
      </c>
      <c r="X289" s="381"/>
      <c r="Y289" s="430" t="str">
        <f t="shared" si="4"/>
        <v/>
      </c>
    </row>
    <row r="290" spans="19:25">
      <c r="S290" s="377"/>
      <c r="T290" s="378"/>
      <c r="U290" s="378"/>
      <c r="V290" s="379" t="s">
        <v>645</v>
      </c>
      <c r="W290" s="380" t="s">
        <v>842</v>
      </c>
      <c r="X290" s="381"/>
      <c r="Y290" s="430" t="str">
        <f t="shared" si="4"/>
        <v/>
      </c>
    </row>
    <row r="291" spans="19:25">
      <c r="S291" s="377"/>
      <c r="T291" s="378"/>
      <c r="U291" s="378"/>
      <c r="V291" s="379" t="s">
        <v>667</v>
      </c>
      <c r="W291" s="380" t="s">
        <v>865</v>
      </c>
      <c r="X291" s="381" t="s">
        <v>981</v>
      </c>
      <c r="Y291" s="430" t="str">
        <f t="shared" si="4"/>
        <v/>
      </c>
    </row>
    <row r="292" spans="19:25">
      <c r="S292" s="377"/>
      <c r="T292" s="378"/>
      <c r="U292" s="378"/>
      <c r="V292" s="379" t="s">
        <v>685</v>
      </c>
      <c r="W292" s="380" t="s">
        <v>883</v>
      </c>
      <c r="X292" s="381" t="s">
        <v>917</v>
      </c>
      <c r="Y292" s="430" t="str">
        <f t="shared" si="4"/>
        <v/>
      </c>
    </row>
    <row r="293" spans="19:25">
      <c r="S293" s="377"/>
      <c r="T293" s="378"/>
      <c r="U293" s="378"/>
      <c r="V293" s="379" t="s">
        <v>688</v>
      </c>
      <c r="W293" s="380" t="s">
        <v>886</v>
      </c>
      <c r="X293" s="381"/>
      <c r="Y293" s="430" t="str">
        <f t="shared" si="4"/>
        <v/>
      </c>
    </row>
    <row r="294" spans="19:25">
      <c r="S294" s="377"/>
      <c r="T294" s="378"/>
      <c r="U294" s="378"/>
      <c r="V294" s="379" t="s">
        <v>692</v>
      </c>
      <c r="W294" s="380" t="s">
        <v>890</v>
      </c>
      <c r="X294" s="381"/>
      <c r="Y294" s="430" t="str">
        <f t="shared" ref="Y294:Y302" si="5">IF(COUNTIF(U294:U472,U294)&gt;1,"DOUBLONS","")</f>
        <v/>
      </c>
    </row>
    <row r="295" spans="19:25">
      <c r="S295" s="377"/>
      <c r="T295" s="378"/>
      <c r="U295" s="378"/>
      <c r="V295" s="379" t="s">
        <v>693</v>
      </c>
      <c r="W295" s="380" t="s">
        <v>891</v>
      </c>
      <c r="X295" s="381"/>
      <c r="Y295" s="430" t="str">
        <f t="shared" si="5"/>
        <v/>
      </c>
    </row>
    <row r="296" spans="19:25">
      <c r="S296" s="377"/>
      <c r="T296" s="378"/>
      <c r="U296" s="378"/>
      <c r="V296" s="379" t="s">
        <v>694</v>
      </c>
      <c r="W296" s="380" t="s">
        <v>892</v>
      </c>
      <c r="X296" s="381"/>
      <c r="Y296" s="430" t="str">
        <f t="shared" si="5"/>
        <v/>
      </c>
    </row>
    <row r="297" spans="19:25">
      <c r="S297" s="377"/>
      <c r="T297" s="378"/>
      <c r="U297" s="378"/>
      <c r="V297" s="379" t="s">
        <v>695</v>
      </c>
      <c r="W297" s="380" t="s">
        <v>893</v>
      </c>
      <c r="X297" s="381"/>
      <c r="Y297" s="430" t="str">
        <f t="shared" si="5"/>
        <v/>
      </c>
    </row>
    <row r="298" spans="19:25">
      <c r="S298" s="377"/>
      <c r="T298" s="378"/>
      <c r="U298" s="378"/>
      <c r="V298" s="379" t="s">
        <v>696</v>
      </c>
      <c r="W298" s="380" t="s">
        <v>894</v>
      </c>
      <c r="X298" s="381"/>
      <c r="Y298" s="430" t="str">
        <f t="shared" si="5"/>
        <v/>
      </c>
    </row>
    <row r="299" spans="19:25">
      <c r="S299" s="377"/>
      <c r="T299" s="378"/>
      <c r="U299" s="378"/>
      <c r="V299" s="379" t="s">
        <v>699</v>
      </c>
      <c r="W299" s="380" t="s">
        <v>897</v>
      </c>
      <c r="X299" s="381" t="s">
        <v>356</v>
      </c>
      <c r="Y299" s="430" t="str">
        <f t="shared" si="5"/>
        <v/>
      </c>
    </row>
    <row r="300" spans="19:25">
      <c r="S300" s="377"/>
      <c r="T300" s="378"/>
      <c r="U300" s="378"/>
      <c r="V300" s="379" t="s">
        <v>700</v>
      </c>
      <c r="W300" s="380" t="s">
        <v>898</v>
      </c>
      <c r="X300" s="381" t="s">
        <v>968</v>
      </c>
      <c r="Y300" s="430" t="str">
        <f t="shared" si="5"/>
        <v/>
      </c>
    </row>
    <row r="301" spans="19:25">
      <c r="S301" s="377"/>
      <c r="T301" s="378"/>
      <c r="U301" s="378"/>
      <c r="V301" s="379" t="s">
        <v>701</v>
      </c>
      <c r="W301" s="380" t="s">
        <v>899</v>
      </c>
      <c r="X301" s="381"/>
      <c r="Y301" s="430" t="str">
        <f t="shared" si="5"/>
        <v/>
      </c>
    </row>
    <row r="302" spans="19:25" ht="15.75" thickBot="1">
      <c r="S302" s="384"/>
      <c r="T302" s="385"/>
      <c r="U302" s="385"/>
      <c r="V302" s="386" t="s">
        <v>702</v>
      </c>
      <c r="W302" s="387" t="s">
        <v>900</v>
      </c>
      <c r="X302" s="388"/>
      <c r="Y302" s="430" t="str">
        <f t="shared" si="5"/>
        <v/>
      </c>
    </row>
    <row r="312" spans="19:24" ht="15.75" thickBot="1"/>
    <row r="313" spans="19:24" ht="18.75" thickTop="1" thickBot="1">
      <c r="V313" s="521" t="s">
        <v>1493</v>
      </c>
      <c r="W313" s="522"/>
      <c r="X313" s="473" t="s">
        <v>2184</v>
      </c>
    </row>
    <row r="314" spans="19:24" ht="15.75" thickTop="1">
      <c r="V314" s="427" t="s">
        <v>132</v>
      </c>
      <c r="W314" s="425">
        <v>251120</v>
      </c>
      <c r="X314" s="473" t="s">
        <v>990</v>
      </c>
    </row>
    <row r="315" spans="19:24">
      <c r="V315" s="428" t="s">
        <v>131</v>
      </c>
      <c r="W315" s="426">
        <v>251130</v>
      </c>
      <c r="X315" s="473" t="s">
        <v>990</v>
      </c>
    </row>
    <row r="316" spans="19:24" ht="17.25">
      <c r="S316" s="544" t="s">
        <v>1490</v>
      </c>
      <c r="T316" s="544"/>
      <c r="V316" s="428" t="s">
        <v>148</v>
      </c>
      <c r="W316" s="426">
        <v>251120</v>
      </c>
      <c r="X316" s="473" t="s">
        <v>990</v>
      </c>
    </row>
    <row r="317" spans="19:24" ht="17.25">
      <c r="S317" s="412" t="s">
        <v>76</v>
      </c>
      <c r="T317" s="413" t="s">
        <v>1403</v>
      </c>
      <c r="V317" s="428" t="s">
        <v>78</v>
      </c>
      <c r="W317" s="426">
        <v>253110</v>
      </c>
      <c r="X317" s="473" t="s">
        <v>349</v>
      </c>
    </row>
    <row r="318" spans="19:24" ht="17.25">
      <c r="S318" s="414" t="s">
        <v>87</v>
      </c>
      <c r="T318" s="415" t="s">
        <v>1403</v>
      </c>
      <c r="V318" s="428" t="s">
        <v>394</v>
      </c>
      <c r="W318" s="426">
        <v>253110</v>
      </c>
      <c r="X318" s="473" t="s">
        <v>349</v>
      </c>
    </row>
    <row r="319" spans="19:24" ht="17.25">
      <c r="S319" s="414" t="s">
        <v>16</v>
      </c>
      <c r="T319" s="415" t="s">
        <v>1401</v>
      </c>
      <c r="V319" s="428" t="s">
        <v>1492</v>
      </c>
      <c r="W319" s="426" t="e">
        <f>IF(#REF!&gt;=300000,251122,251121)</f>
        <v>#REF!</v>
      </c>
      <c r="X319" s="473" t="s">
        <v>990</v>
      </c>
    </row>
    <row r="320" spans="19:24" ht="17.25">
      <c r="S320" s="410" t="s">
        <v>14</v>
      </c>
      <c r="T320" s="411">
        <v>2</v>
      </c>
      <c r="V320" s="429" t="s">
        <v>1491</v>
      </c>
      <c r="W320" s="426">
        <v>251123</v>
      </c>
      <c r="X320" s="473" t="s">
        <v>990</v>
      </c>
    </row>
    <row r="321" spans="19:24" ht="17.25">
      <c r="S321" s="410" t="s">
        <v>22</v>
      </c>
      <c r="T321" s="411">
        <v>1</v>
      </c>
      <c r="V321" s="466" t="s">
        <v>2149</v>
      </c>
      <c r="W321" s="467" t="e">
        <f>IF(AND(#REF!="COMPTE AVEC PROCURATION",#REF!="COMPTE CHEQUE"),251120,253110)</f>
        <v>#REF!</v>
      </c>
      <c r="X321" s="473" t="s">
        <v>349</v>
      </c>
    </row>
    <row r="322" spans="19:24" ht="17.25">
      <c r="S322" s="410" t="s">
        <v>36</v>
      </c>
      <c r="T322" s="411">
        <v>3</v>
      </c>
      <c r="V322" s="429" t="s">
        <v>2150</v>
      </c>
      <c r="W322" s="426">
        <v>251131</v>
      </c>
      <c r="X322" s="473" t="s">
        <v>990</v>
      </c>
    </row>
    <row r="323" spans="19:24" ht="17.25">
      <c r="S323" s="410" t="s">
        <v>37</v>
      </c>
      <c r="T323" s="411">
        <v>3</v>
      </c>
      <c r="V323" s="466" t="s">
        <v>2167</v>
      </c>
      <c r="W323" s="472" t="s">
        <v>2166</v>
      </c>
      <c r="X323" s="473" t="s">
        <v>990</v>
      </c>
    </row>
    <row r="324" spans="19:24" ht="17.25">
      <c r="S324" s="408" t="s">
        <v>33</v>
      </c>
      <c r="T324" s="409" t="s">
        <v>23</v>
      </c>
    </row>
    <row r="325" spans="19:24" ht="17.25">
      <c r="S325" s="408" t="s">
        <v>20</v>
      </c>
      <c r="T325" s="409" t="s">
        <v>215</v>
      </c>
    </row>
    <row r="326" spans="19:24" ht="17.25">
      <c r="S326" s="408" t="s">
        <v>18</v>
      </c>
      <c r="T326" s="409" t="s">
        <v>1401</v>
      </c>
    </row>
    <row r="327" spans="19:24" ht="17.25">
      <c r="S327" s="408" t="s">
        <v>34</v>
      </c>
      <c r="T327" s="409" t="s">
        <v>30</v>
      </c>
    </row>
    <row r="328" spans="19:24" ht="17.25">
      <c r="S328" s="408" t="s">
        <v>56</v>
      </c>
      <c r="T328" s="409" t="s">
        <v>1404</v>
      </c>
    </row>
    <row r="329" spans="19:24" ht="17.25">
      <c r="S329" s="416" t="s">
        <v>60</v>
      </c>
      <c r="T329" s="407" t="s">
        <v>2</v>
      </c>
    </row>
    <row r="330" spans="19:24" ht="17.25">
      <c r="S330" s="416" t="s">
        <v>59</v>
      </c>
      <c r="T330" s="407" t="s">
        <v>2</v>
      </c>
    </row>
    <row r="331" spans="19:24" ht="17.25">
      <c r="S331" s="416" t="s">
        <v>63</v>
      </c>
      <c r="T331" s="407" t="s">
        <v>23</v>
      </c>
    </row>
    <row r="332" spans="19:24" ht="17.25">
      <c r="S332" s="417" t="s">
        <v>69</v>
      </c>
      <c r="T332" s="407" t="s">
        <v>23</v>
      </c>
    </row>
    <row r="333" spans="19:24" ht="17.25">
      <c r="S333" s="416" t="s">
        <v>71</v>
      </c>
      <c r="T333" s="407" t="s">
        <v>23</v>
      </c>
    </row>
    <row r="334" spans="19:24" ht="17.25">
      <c r="S334" s="416" t="s">
        <v>84</v>
      </c>
      <c r="T334" s="407" t="s">
        <v>23</v>
      </c>
      <c r="V334" s="526" t="s">
        <v>2208</v>
      </c>
      <c r="W334" s="526"/>
      <c r="X334" s="526"/>
    </row>
    <row r="335" spans="19:24" ht="17.25">
      <c r="S335" s="416" t="s">
        <v>61</v>
      </c>
      <c r="T335" s="407" t="s">
        <v>1488</v>
      </c>
    </row>
    <row r="336" spans="19:24" ht="17.25">
      <c r="S336" s="416" t="s">
        <v>62</v>
      </c>
      <c r="T336" s="407" t="s">
        <v>1489</v>
      </c>
      <c r="V336" s="452" t="s">
        <v>2209</v>
      </c>
      <c r="W336" s="452" t="s">
        <v>2202</v>
      </c>
    </row>
    <row r="337" spans="19:23" ht="17.25">
      <c r="S337" s="416" t="s">
        <v>58</v>
      </c>
      <c r="T337" s="407" t="s">
        <v>32</v>
      </c>
      <c r="V337" s="452" t="s">
        <v>2210</v>
      </c>
      <c r="W337" s="452" t="s">
        <v>2203</v>
      </c>
    </row>
    <row r="338" spans="19:23" ht="17.25">
      <c r="S338" s="416" t="s">
        <v>72</v>
      </c>
      <c r="T338" s="407" t="s">
        <v>32</v>
      </c>
      <c r="V338" s="452" t="s">
        <v>2198</v>
      </c>
      <c r="W338" s="452" t="s">
        <v>2204</v>
      </c>
    </row>
    <row r="339" spans="19:23" ht="17.25">
      <c r="S339" s="416" t="s">
        <v>83</v>
      </c>
      <c r="T339" s="407" t="s">
        <v>32</v>
      </c>
      <c r="V339" s="452" t="s">
        <v>2199</v>
      </c>
      <c r="W339" s="452" t="s">
        <v>2205</v>
      </c>
    </row>
    <row r="340" spans="19:23" ht="17.25">
      <c r="S340" s="416" t="s">
        <v>70</v>
      </c>
      <c r="T340" s="407" t="s">
        <v>32</v>
      </c>
      <c r="V340" s="452" t="s">
        <v>2200</v>
      </c>
      <c r="W340" s="452" t="s">
        <v>2206</v>
      </c>
    </row>
    <row r="341" spans="19:23" ht="17.25">
      <c r="S341" s="418" t="s">
        <v>113</v>
      </c>
      <c r="T341" s="407" t="s">
        <v>1488</v>
      </c>
      <c r="V341" s="452" t="s">
        <v>2187</v>
      </c>
      <c r="W341" s="452" t="s">
        <v>2195</v>
      </c>
    </row>
    <row r="342" spans="19:23" ht="15.75">
      <c r="S342" s="419" t="s">
        <v>24</v>
      </c>
      <c r="T342" s="420">
        <v>2</v>
      </c>
      <c r="V342" s="452" t="s">
        <v>2190</v>
      </c>
      <c r="W342" s="452" t="s">
        <v>2201</v>
      </c>
    </row>
    <row r="343" spans="19:23" ht="15.75">
      <c r="S343" s="419" t="s">
        <v>27</v>
      </c>
      <c r="T343" s="420">
        <v>4</v>
      </c>
      <c r="V343" s="452" t="s">
        <v>2189</v>
      </c>
      <c r="W343" s="452" t="s">
        <v>2196</v>
      </c>
    </row>
    <row r="344" spans="19:23" ht="15.75">
      <c r="S344" s="421" t="s">
        <v>29</v>
      </c>
      <c r="T344" s="422">
        <v>3</v>
      </c>
      <c r="V344" s="452" t="s">
        <v>2193</v>
      </c>
      <c r="W344" s="452" t="s">
        <v>2197</v>
      </c>
    </row>
    <row r="345" spans="19:23">
      <c r="V345" s="452" t="s">
        <v>2194</v>
      </c>
      <c r="W345" s="452" t="s">
        <v>2207</v>
      </c>
    </row>
    <row r="346" spans="19:23">
      <c r="V346" s="452" t="s">
        <v>115</v>
      </c>
      <c r="W346" s="452" t="s">
        <v>115</v>
      </c>
    </row>
    <row r="347" spans="19:23">
      <c r="V347" s="474" t="e">
        <f>VLOOKUP(#REF!,PARAMETRE!V336:W345,2,FALSE)</f>
        <v>#REF!</v>
      </c>
    </row>
    <row r="391" spans="22:24">
      <c r="V391" s="133" t="e">
        <f t="array" ref="V391">INDEX(PARAMETRE!$W$394:'PARAMETRE'!$X$440,MATCH((IF(ISNA(RIGHT(#REF!,MATCH(CHAR(32),MID(#REF!,LEN(#REF!)-ROW($1:$45),1),0))),RIGHT(#REF!,MATCH(CHAR(47),MID(#REF!,LEN(#REF!)-ROW($1:$45),1),0)),RIGHT(#REF!,MATCH(CHAR(32),MID(#REF!,LEN(#REF!)-ROW($1:$45),1),0)))),PARAMETRE!$W$394:'PARAMETRE'!$W$440,0),2)</f>
        <v>#REF!</v>
      </c>
    </row>
    <row r="392" spans="22:24" ht="15.75" thickBot="1"/>
    <row r="393" spans="22:24" ht="15.75" thickBot="1">
      <c r="V393" s="399" t="s">
        <v>1405</v>
      </c>
      <c r="W393" s="398" t="s">
        <v>1406</v>
      </c>
      <c r="X393" s="398" t="s">
        <v>1407</v>
      </c>
    </row>
    <row r="394" spans="22:24" ht="15.75">
      <c r="V394" s="400" t="s">
        <v>1411</v>
      </c>
      <c r="W394" s="401" t="s">
        <v>1452</v>
      </c>
      <c r="X394" s="403">
        <v>71</v>
      </c>
    </row>
    <row r="395" spans="22:24" ht="15.75">
      <c r="V395" s="402" t="s">
        <v>1412</v>
      </c>
      <c r="W395" s="212" t="s">
        <v>1453</v>
      </c>
      <c r="X395" s="404">
        <v>50</v>
      </c>
    </row>
    <row r="396" spans="22:24" ht="15.75">
      <c r="V396" s="402" t="s">
        <v>1413</v>
      </c>
      <c r="W396" s="212" t="s">
        <v>1454</v>
      </c>
      <c r="X396" s="404">
        <v>51</v>
      </c>
    </row>
    <row r="397" spans="22:24" ht="15.75">
      <c r="V397" s="402" t="s">
        <v>1414</v>
      </c>
      <c r="W397" s="212" t="s">
        <v>1455</v>
      </c>
      <c r="X397" s="404">
        <v>52</v>
      </c>
    </row>
    <row r="398" spans="22:24" ht="15.75">
      <c r="V398" s="402" t="s">
        <v>1415</v>
      </c>
      <c r="W398" s="212" t="s">
        <v>1456</v>
      </c>
      <c r="X398" s="404">
        <v>53</v>
      </c>
    </row>
    <row r="399" spans="22:24" ht="15.75">
      <c r="V399" s="402" t="s">
        <v>1410</v>
      </c>
      <c r="W399" s="212" t="s">
        <v>1457</v>
      </c>
      <c r="X399" s="404">
        <v>54</v>
      </c>
    </row>
    <row r="400" spans="22:24" ht="15.75">
      <c r="V400" s="402" t="s">
        <v>1416</v>
      </c>
      <c r="W400" s="212" t="s">
        <v>171</v>
      </c>
      <c r="X400" s="404">
        <v>55</v>
      </c>
    </row>
    <row r="401" spans="22:24" ht="15.75">
      <c r="V401" s="402" t="s">
        <v>1417</v>
      </c>
      <c r="W401" s="212" t="s">
        <v>1458</v>
      </c>
      <c r="X401" s="404">
        <v>56</v>
      </c>
    </row>
    <row r="402" spans="22:24" ht="15.75">
      <c r="V402" s="402" t="s">
        <v>1418</v>
      </c>
      <c r="W402" s="212" t="s">
        <v>1459</v>
      </c>
      <c r="X402" s="404">
        <v>57</v>
      </c>
    </row>
    <row r="403" spans="22:24" ht="15.75">
      <c r="V403" s="402" t="s">
        <v>1419</v>
      </c>
      <c r="W403" s="212" t="s">
        <v>1460</v>
      </c>
      <c r="X403" s="404">
        <v>58</v>
      </c>
    </row>
    <row r="404" spans="22:24" ht="15.75">
      <c r="V404" s="402" t="s">
        <v>1420</v>
      </c>
      <c r="W404" s="212" t="s">
        <v>179</v>
      </c>
      <c r="X404" s="404">
        <v>59</v>
      </c>
    </row>
    <row r="405" spans="22:24" ht="15.75">
      <c r="V405" s="402" t="s">
        <v>1421</v>
      </c>
      <c r="W405" s="212" t="s">
        <v>169</v>
      </c>
      <c r="X405" s="404">
        <v>60</v>
      </c>
    </row>
    <row r="406" spans="22:24" ht="15.75">
      <c r="V406" s="402" t="s">
        <v>1421</v>
      </c>
      <c r="W406" s="212" t="s">
        <v>2185</v>
      </c>
      <c r="X406" s="404">
        <v>60</v>
      </c>
    </row>
    <row r="407" spans="22:24" ht="15.75">
      <c r="V407" s="402" t="s">
        <v>1422</v>
      </c>
      <c r="W407" s="212" t="s">
        <v>1461</v>
      </c>
      <c r="X407" s="404">
        <v>61</v>
      </c>
    </row>
    <row r="408" spans="22:24" ht="15.75">
      <c r="V408" s="402" t="s">
        <v>2168</v>
      </c>
      <c r="W408" s="212" t="s">
        <v>10</v>
      </c>
      <c r="X408" s="404">
        <v>62</v>
      </c>
    </row>
    <row r="409" spans="22:24" ht="15.75">
      <c r="V409" s="402" t="s">
        <v>1423</v>
      </c>
      <c r="W409" s="212" t="s">
        <v>1462</v>
      </c>
      <c r="X409" s="404">
        <v>63</v>
      </c>
    </row>
    <row r="410" spans="22:24" ht="15.75">
      <c r="V410" s="402" t="s">
        <v>1424</v>
      </c>
      <c r="W410" s="212" t="s">
        <v>1463</v>
      </c>
      <c r="X410" s="404">
        <v>64</v>
      </c>
    </row>
    <row r="411" spans="22:24" ht="15.75">
      <c r="V411" s="402" t="s">
        <v>1425</v>
      </c>
      <c r="W411" s="212" t="s">
        <v>1464</v>
      </c>
      <c r="X411" s="404">
        <v>65</v>
      </c>
    </row>
    <row r="412" spans="22:24" ht="15.75">
      <c r="V412" s="402" t="s">
        <v>1426</v>
      </c>
      <c r="W412" s="212" t="s">
        <v>1465</v>
      </c>
      <c r="X412" s="404">
        <v>66</v>
      </c>
    </row>
    <row r="413" spans="22:24" ht="15.75">
      <c r="V413" s="402" t="s">
        <v>1427</v>
      </c>
      <c r="W413" s="212" t="s">
        <v>1466</v>
      </c>
      <c r="X413" s="404">
        <v>67</v>
      </c>
    </row>
    <row r="414" spans="22:24" ht="15.75">
      <c r="V414" s="402" t="s">
        <v>1428</v>
      </c>
      <c r="W414" s="212" t="s">
        <v>172</v>
      </c>
      <c r="X414" s="404">
        <v>68</v>
      </c>
    </row>
    <row r="415" spans="22:24" ht="15.75">
      <c r="V415" s="402" t="s">
        <v>1429</v>
      </c>
      <c r="W415" s="212" t="s">
        <v>1467</v>
      </c>
      <c r="X415" s="404">
        <v>69</v>
      </c>
    </row>
    <row r="416" spans="22:24" ht="15.75">
      <c r="V416" s="402" t="s">
        <v>1430</v>
      </c>
      <c r="W416" s="212" t="s">
        <v>1468</v>
      </c>
      <c r="X416" s="404">
        <v>70</v>
      </c>
    </row>
    <row r="417" spans="1:24" ht="15.75">
      <c r="V417" s="402" t="s">
        <v>1431</v>
      </c>
      <c r="W417" s="212" t="s">
        <v>1469</v>
      </c>
      <c r="X417" s="404">
        <v>72</v>
      </c>
    </row>
    <row r="418" spans="1:24" ht="15.75">
      <c r="V418" s="402" t="s">
        <v>1432</v>
      </c>
      <c r="W418" s="212" t="s">
        <v>180</v>
      </c>
      <c r="X418" s="404">
        <v>73</v>
      </c>
    </row>
    <row r="419" spans="1:24" ht="15.75">
      <c r="V419" s="402" t="s">
        <v>1433</v>
      </c>
      <c r="W419" s="212" t="s">
        <v>1470</v>
      </c>
      <c r="X419" s="404">
        <v>74</v>
      </c>
    </row>
    <row r="420" spans="1:24" ht="15.75">
      <c r="V420" s="402" t="s">
        <v>1434</v>
      </c>
      <c r="W420" s="212" t="s">
        <v>1471</v>
      </c>
      <c r="X420" s="404">
        <v>75</v>
      </c>
    </row>
    <row r="421" spans="1:24" ht="15.75">
      <c r="V421" s="402" t="s">
        <v>1435</v>
      </c>
      <c r="W421" s="212" t="s">
        <v>1472</v>
      </c>
      <c r="X421" s="404">
        <v>76</v>
      </c>
    </row>
    <row r="422" spans="1:24" ht="15.75">
      <c r="V422" s="402" t="s">
        <v>1436</v>
      </c>
      <c r="W422" s="212" t="s">
        <v>1473</v>
      </c>
      <c r="X422" s="404">
        <v>77</v>
      </c>
    </row>
    <row r="423" spans="1:24" ht="15.75">
      <c r="V423" s="402" t="s">
        <v>1437</v>
      </c>
      <c r="W423" s="212" t="s">
        <v>1474</v>
      </c>
      <c r="X423" s="404">
        <v>78</v>
      </c>
    </row>
    <row r="424" spans="1:24" ht="15.75">
      <c r="V424" s="402" t="s">
        <v>1438</v>
      </c>
      <c r="W424" s="212" t="s">
        <v>1475</v>
      </c>
      <c r="X424" s="404">
        <v>79</v>
      </c>
    </row>
    <row r="425" spans="1:24" ht="15.75">
      <c r="V425" s="402" t="s">
        <v>1438</v>
      </c>
      <c r="W425" s="212" t="s">
        <v>2226</v>
      </c>
      <c r="X425" s="404">
        <v>79</v>
      </c>
    </row>
    <row r="426" spans="1:24" ht="15.75">
      <c r="V426" s="402" t="s">
        <v>1408</v>
      </c>
      <c r="W426" s="212" t="s">
        <v>1409</v>
      </c>
      <c r="X426" s="404">
        <v>80</v>
      </c>
    </row>
    <row r="427" spans="1:24" ht="15.75">
      <c r="V427" s="402" t="s">
        <v>1439</v>
      </c>
      <c r="W427" s="212" t="s">
        <v>181</v>
      </c>
      <c r="X427" s="404">
        <v>81</v>
      </c>
    </row>
    <row r="428" spans="1:24" ht="15.75">
      <c r="V428" s="402" t="s">
        <v>1440</v>
      </c>
      <c r="W428" s="212" t="s">
        <v>1476</v>
      </c>
      <c r="X428" s="404">
        <v>82</v>
      </c>
    </row>
    <row r="429" spans="1:24" ht="15.75">
      <c r="V429" s="402" t="s">
        <v>1441</v>
      </c>
      <c r="W429" s="212" t="s">
        <v>1400</v>
      </c>
      <c r="X429" s="404">
        <v>83</v>
      </c>
    </row>
    <row r="430" spans="1:24" ht="15.75">
      <c r="V430" s="402" t="s">
        <v>1442</v>
      </c>
      <c r="W430" s="212" t="s">
        <v>1477</v>
      </c>
      <c r="X430" s="404">
        <v>84</v>
      </c>
    </row>
    <row r="431" spans="1:24" ht="15.75">
      <c r="V431" s="402" t="s">
        <v>1443</v>
      </c>
      <c r="W431" s="212" t="s">
        <v>1478</v>
      </c>
      <c r="X431" s="404">
        <v>85</v>
      </c>
    </row>
    <row r="432" spans="1:24" ht="15.75">
      <c r="A432" s="261" t="s">
        <v>204</v>
      </c>
      <c r="V432" s="402" t="s">
        <v>1444</v>
      </c>
      <c r="W432" s="212" t="s">
        <v>1479</v>
      </c>
      <c r="X432" s="404">
        <v>86</v>
      </c>
    </row>
    <row r="433" spans="1:24" ht="15.75">
      <c r="A433" s="1" t="s">
        <v>205</v>
      </c>
      <c r="V433" s="402" t="s">
        <v>1445</v>
      </c>
      <c r="W433" s="212" t="s">
        <v>1480</v>
      </c>
      <c r="X433" s="404">
        <v>87</v>
      </c>
    </row>
    <row r="434" spans="1:24" ht="15.75">
      <c r="A434" s="1" t="s">
        <v>206</v>
      </c>
      <c r="V434" s="402" t="s">
        <v>1446</v>
      </c>
      <c r="W434" s="212" t="s">
        <v>1481</v>
      </c>
      <c r="X434" s="404">
        <v>88</v>
      </c>
    </row>
    <row r="435" spans="1:24" ht="15.75">
      <c r="A435" s="1" t="s">
        <v>207</v>
      </c>
      <c r="V435" s="402" t="s">
        <v>1447</v>
      </c>
      <c r="W435" s="212" t="s">
        <v>1482</v>
      </c>
      <c r="X435" s="404">
        <v>89</v>
      </c>
    </row>
    <row r="436" spans="1:24" ht="15.75">
      <c r="A436" s="1" t="s">
        <v>208</v>
      </c>
      <c r="V436" s="402" t="s">
        <v>1448</v>
      </c>
      <c r="W436" s="212" t="s">
        <v>1483</v>
      </c>
      <c r="X436" s="404">
        <v>90</v>
      </c>
    </row>
    <row r="437" spans="1:24" ht="15.75">
      <c r="A437" s="1" t="s">
        <v>209</v>
      </c>
      <c r="V437" s="402" t="s">
        <v>1449</v>
      </c>
      <c r="W437" s="212" t="s">
        <v>1484</v>
      </c>
      <c r="X437" s="404">
        <v>91</v>
      </c>
    </row>
    <row r="438" spans="1:24" ht="15.75">
      <c r="A438" s="1" t="s">
        <v>210</v>
      </c>
      <c r="V438" s="402" t="s">
        <v>1450</v>
      </c>
      <c r="W438" s="212" t="s">
        <v>1485</v>
      </c>
      <c r="X438" s="404">
        <v>92</v>
      </c>
    </row>
    <row r="439" spans="1:24" ht="15.75">
      <c r="A439" s="1" t="s">
        <v>211</v>
      </c>
      <c r="V439" s="402" t="s">
        <v>2186</v>
      </c>
      <c r="W439" s="212" t="s">
        <v>1486</v>
      </c>
      <c r="X439" s="404">
        <v>93</v>
      </c>
    </row>
    <row r="440" spans="1:24" ht="16.5" thickBot="1">
      <c r="A440" s="1" t="s">
        <v>212</v>
      </c>
      <c r="V440" s="438" t="s">
        <v>1451</v>
      </c>
      <c r="W440" s="439" t="s">
        <v>1487</v>
      </c>
      <c r="X440" s="440">
        <v>94</v>
      </c>
    </row>
    <row r="441" spans="1:24" ht="15.75" thickTop="1">
      <c r="A441" s="4" t="s">
        <v>213</v>
      </c>
      <c r="V441" s="402" t="s">
        <v>1351</v>
      </c>
      <c r="W441" s="374" t="s">
        <v>661</v>
      </c>
      <c r="X441" s="437" t="s">
        <v>964</v>
      </c>
    </row>
    <row r="442" spans="1:24">
      <c r="V442" s="402" t="s">
        <v>1291</v>
      </c>
      <c r="W442" s="379" t="s">
        <v>539</v>
      </c>
      <c r="X442" s="435" t="s">
        <v>965</v>
      </c>
    </row>
    <row r="443" spans="1:24">
      <c r="V443" s="402" t="s">
        <v>1296</v>
      </c>
      <c r="W443" s="379" t="s">
        <v>552</v>
      </c>
      <c r="X443" s="435" t="s">
        <v>1001</v>
      </c>
    </row>
    <row r="444" spans="1:24">
      <c r="V444" s="402" t="s">
        <v>1278</v>
      </c>
      <c r="W444" s="379" t="s">
        <v>509</v>
      </c>
      <c r="X444" s="435" t="s">
        <v>239</v>
      </c>
    </row>
    <row r="445" spans="1:24">
      <c r="V445" s="402" t="s">
        <v>2224</v>
      </c>
      <c r="W445" s="477" t="s">
        <v>604</v>
      </c>
      <c r="X445" s="435" t="s">
        <v>1038</v>
      </c>
    </row>
    <row r="446" spans="1:24">
      <c r="V446" s="402" t="s">
        <v>1287</v>
      </c>
      <c r="W446" s="379" t="s">
        <v>526</v>
      </c>
      <c r="X446" s="435" t="s">
        <v>962</v>
      </c>
    </row>
    <row r="447" spans="1:24">
      <c r="U447" s="1" t="s">
        <v>6</v>
      </c>
      <c r="V447" s="402" t="s">
        <v>1320</v>
      </c>
      <c r="W447" s="379" t="s">
        <v>582</v>
      </c>
      <c r="X447" s="435" t="s">
        <v>967</v>
      </c>
    </row>
    <row r="448" spans="1:24">
      <c r="V448" s="402" t="s">
        <v>1119</v>
      </c>
      <c r="W448" s="379" t="s">
        <v>644</v>
      </c>
      <c r="X448" s="435" t="s">
        <v>969</v>
      </c>
    </row>
    <row r="449" spans="18:24">
      <c r="V449" s="402" t="s">
        <v>1293</v>
      </c>
      <c r="W449" s="379" t="s">
        <v>544</v>
      </c>
      <c r="X449" s="435" t="s">
        <v>966</v>
      </c>
    </row>
    <row r="450" spans="18:24" ht="15.75" thickBot="1">
      <c r="V450" s="402" t="s">
        <v>1363</v>
      </c>
      <c r="W450" s="379" t="s">
        <v>686</v>
      </c>
      <c r="X450" s="435" t="s">
        <v>971</v>
      </c>
    </row>
    <row r="451" spans="18:24" ht="17.25" thickTop="1" thickBot="1">
      <c r="R451" s="470" t="s">
        <v>2163</v>
      </c>
      <c r="S451" s="471" t="s">
        <v>2164</v>
      </c>
      <c r="T451" s="446" t="s">
        <v>2156</v>
      </c>
      <c r="V451" s="402" t="s">
        <v>1286</v>
      </c>
      <c r="W451" s="379" t="s">
        <v>524</v>
      </c>
      <c r="X451" s="435" t="s">
        <v>970</v>
      </c>
    </row>
    <row r="452" spans="18:24" ht="15.75" thickTop="1">
      <c r="R452" s="468" t="s">
        <v>2128</v>
      </c>
      <c r="S452" s="469" t="s">
        <v>1853</v>
      </c>
      <c r="T452" s="446" t="s">
        <v>2157</v>
      </c>
      <c r="V452" s="402" t="s">
        <v>1260</v>
      </c>
      <c r="W452" s="379" t="s">
        <v>545</v>
      </c>
      <c r="X452" s="435" t="s">
        <v>972</v>
      </c>
    </row>
    <row r="453" spans="18:24">
      <c r="R453" s="431" t="s">
        <v>1497</v>
      </c>
      <c r="S453" s="443">
        <v>1404</v>
      </c>
      <c r="T453" s="446" t="s">
        <v>2158</v>
      </c>
      <c r="V453" s="402" t="s">
        <v>1336</v>
      </c>
      <c r="W453" s="379" t="s">
        <v>620</v>
      </c>
      <c r="X453" s="435" t="s">
        <v>277</v>
      </c>
    </row>
    <row r="454" spans="18:24">
      <c r="R454" s="431" t="s">
        <v>1498</v>
      </c>
      <c r="S454" s="443" t="s">
        <v>1499</v>
      </c>
      <c r="T454" s="446" t="s">
        <v>2159</v>
      </c>
      <c r="V454" s="402" t="s">
        <v>1213</v>
      </c>
      <c r="W454" s="379" t="s">
        <v>655</v>
      </c>
      <c r="X454" s="435" t="s">
        <v>302</v>
      </c>
    </row>
    <row r="455" spans="18:24">
      <c r="R455" s="431" t="s">
        <v>1500</v>
      </c>
      <c r="S455" s="443" t="s">
        <v>1501</v>
      </c>
      <c r="T455" s="446" t="s">
        <v>2160</v>
      </c>
      <c r="V455" s="402" t="s">
        <v>1350</v>
      </c>
      <c r="W455" s="379" t="s">
        <v>663</v>
      </c>
      <c r="X455" s="435" t="s">
        <v>974</v>
      </c>
    </row>
    <row r="456" spans="18:24">
      <c r="R456" s="431" t="s">
        <v>1502</v>
      </c>
      <c r="S456" s="443" t="s">
        <v>1503</v>
      </c>
      <c r="T456" s="446" t="s">
        <v>2161</v>
      </c>
      <c r="V456" s="402" t="s">
        <v>1339</v>
      </c>
      <c r="W456" s="379" t="s">
        <v>629</v>
      </c>
      <c r="X456" s="435"/>
    </row>
    <row r="457" spans="18:24">
      <c r="R457" s="431" t="s">
        <v>1504</v>
      </c>
      <c r="S457" s="443" t="s">
        <v>1505</v>
      </c>
      <c r="T457" s="446" t="s">
        <v>2162</v>
      </c>
      <c r="V457" s="402" t="s">
        <v>1054</v>
      </c>
      <c r="W457" s="379" t="s">
        <v>517</v>
      </c>
      <c r="X457" s="435" t="s">
        <v>321</v>
      </c>
    </row>
    <row r="458" spans="18:24">
      <c r="R458" s="431" t="s">
        <v>1506</v>
      </c>
      <c r="S458" s="443" t="s">
        <v>1507</v>
      </c>
      <c r="T458" s="446" t="s">
        <v>2169</v>
      </c>
      <c r="V458" s="402" t="s">
        <v>1229</v>
      </c>
      <c r="W458" s="379" t="s">
        <v>611</v>
      </c>
      <c r="X458" s="435" t="s">
        <v>985</v>
      </c>
    </row>
    <row r="459" spans="18:24">
      <c r="R459" s="431" t="s">
        <v>2044</v>
      </c>
      <c r="S459" s="443" t="s">
        <v>1508</v>
      </c>
      <c r="T459" s="447" t="s">
        <v>2170</v>
      </c>
      <c r="V459" s="402" t="s">
        <v>1312</v>
      </c>
      <c r="W459" s="379" t="s">
        <v>571</v>
      </c>
      <c r="X459" s="435" t="s">
        <v>272</v>
      </c>
    </row>
    <row r="460" spans="18:24">
      <c r="R460" s="432" t="s">
        <v>2045</v>
      </c>
      <c r="S460" s="444">
        <v>1408</v>
      </c>
      <c r="T460" s="447"/>
      <c r="V460" s="402" t="s">
        <v>1143</v>
      </c>
      <c r="W460" s="379" t="s">
        <v>541</v>
      </c>
      <c r="X460" s="435" t="s">
        <v>984</v>
      </c>
    </row>
    <row r="461" spans="18:24">
      <c r="R461" s="432" t="s">
        <v>2107</v>
      </c>
      <c r="S461" s="444" t="s">
        <v>1766</v>
      </c>
      <c r="T461" s="447" t="s">
        <v>2188</v>
      </c>
      <c r="V461" s="402" t="s">
        <v>1239</v>
      </c>
      <c r="W461" s="379" t="s">
        <v>668</v>
      </c>
      <c r="X461" s="435" t="s">
        <v>982</v>
      </c>
    </row>
    <row r="462" spans="18:24">
      <c r="R462" s="431" t="s">
        <v>1509</v>
      </c>
      <c r="S462" s="443" t="s">
        <v>1510</v>
      </c>
      <c r="T462" s="447" t="s">
        <v>2191</v>
      </c>
      <c r="V462" s="402" t="s">
        <v>1164</v>
      </c>
      <c r="W462" s="477" t="s">
        <v>564</v>
      </c>
      <c r="X462" s="435" t="s">
        <v>1020</v>
      </c>
    </row>
    <row r="463" spans="18:24">
      <c r="R463" s="432" t="s">
        <v>2048</v>
      </c>
      <c r="S463" s="444" t="s">
        <v>1511</v>
      </c>
      <c r="T463" s="447" t="s">
        <v>2192</v>
      </c>
      <c r="V463" s="402" t="s">
        <v>1164</v>
      </c>
      <c r="W463" s="477" t="s">
        <v>2234</v>
      </c>
      <c r="X463" s="435" t="s">
        <v>1020</v>
      </c>
    </row>
    <row r="464" spans="18:24">
      <c r="R464" s="432" t="s">
        <v>2050</v>
      </c>
      <c r="S464" s="443" t="s">
        <v>1512</v>
      </c>
      <c r="T464" s="447" t="s">
        <v>2267</v>
      </c>
      <c r="V464" s="402" t="s">
        <v>1230</v>
      </c>
      <c r="W464" s="379" t="s">
        <v>641</v>
      </c>
      <c r="X464" s="435" t="s">
        <v>979</v>
      </c>
    </row>
    <row r="465" spans="18:24">
      <c r="R465" s="432" t="s">
        <v>2052</v>
      </c>
      <c r="S465" s="443" t="s">
        <v>1513</v>
      </c>
      <c r="T465" s="447" t="s">
        <v>2268</v>
      </c>
      <c r="V465" s="402" t="s">
        <v>1270</v>
      </c>
      <c r="W465" s="379" t="s">
        <v>548</v>
      </c>
      <c r="X465" s="435" t="s">
        <v>973</v>
      </c>
    </row>
    <row r="466" spans="18:24">
      <c r="R466" s="432" t="s">
        <v>2115</v>
      </c>
      <c r="S466" s="444" t="s">
        <v>1793</v>
      </c>
      <c r="T466" s="446" t="s">
        <v>2269</v>
      </c>
      <c r="V466" s="402" t="s">
        <v>1370</v>
      </c>
      <c r="W466" s="379" t="s">
        <v>601</v>
      </c>
      <c r="X466" s="435" t="s">
        <v>983</v>
      </c>
    </row>
    <row r="467" spans="18:24">
      <c r="R467" s="431" t="s">
        <v>1514</v>
      </c>
      <c r="S467" s="443" t="s">
        <v>1515</v>
      </c>
      <c r="T467" s="447" t="s">
        <v>2270</v>
      </c>
      <c r="V467" s="402" t="s">
        <v>1341</v>
      </c>
      <c r="W467" s="379" t="s">
        <v>639</v>
      </c>
      <c r="X467" s="435" t="s">
        <v>980</v>
      </c>
    </row>
    <row r="468" spans="18:24">
      <c r="R468" s="431" t="s">
        <v>1516</v>
      </c>
      <c r="S468" s="443" t="s">
        <v>1517</v>
      </c>
      <c r="T468" s="447" t="s">
        <v>2271</v>
      </c>
      <c r="V468" s="402" t="s">
        <v>1050</v>
      </c>
      <c r="W468" s="477" t="s">
        <v>511</v>
      </c>
      <c r="X468" s="435" t="s">
        <v>1009</v>
      </c>
    </row>
    <row r="469" spans="18:24">
      <c r="R469" s="432" t="s">
        <v>2111</v>
      </c>
      <c r="S469" s="444" t="s">
        <v>1772</v>
      </c>
      <c r="T469" s="446" t="s">
        <v>2272</v>
      </c>
      <c r="V469" s="402" t="s">
        <v>1050</v>
      </c>
      <c r="W469" s="477" t="s">
        <v>2233</v>
      </c>
      <c r="X469" s="435" t="s">
        <v>1009</v>
      </c>
    </row>
    <row r="470" spans="18:24">
      <c r="R470" s="431" t="s">
        <v>1518</v>
      </c>
      <c r="S470" s="443" t="s">
        <v>1519</v>
      </c>
      <c r="T470" s="447"/>
      <c r="V470" s="402" t="s">
        <v>1253</v>
      </c>
      <c r="W470" s="379" t="s">
        <v>675</v>
      </c>
      <c r="X470" s="435" t="s">
        <v>978</v>
      </c>
    </row>
    <row r="471" spans="18:24">
      <c r="R471" s="431" t="s">
        <v>1520</v>
      </c>
      <c r="S471" s="443" t="s">
        <v>1521</v>
      </c>
      <c r="T471" s="446"/>
      <c r="V471" s="402" t="s">
        <v>1268</v>
      </c>
      <c r="W471" s="379" t="s">
        <v>538</v>
      </c>
      <c r="X471" s="435" t="s">
        <v>976</v>
      </c>
    </row>
    <row r="472" spans="18:24">
      <c r="R472" s="431" t="s">
        <v>2053</v>
      </c>
      <c r="S472" s="443" t="s">
        <v>1522</v>
      </c>
      <c r="T472" s="446"/>
      <c r="V472" s="402" t="s">
        <v>975</v>
      </c>
      <c r="W472" s="477" t="s">
        <v>9</v>
      </c>
      <c r="X472" s="435" t="s">
        <v>975</v>
      </c>
    </row>
    <row r="473" spans="18:24">
      <c r="R473" s="431" t="s">
        <v>1523</v>
      </c>
      <c r="S473" s="443" t="s">
        <v>1524</v>
      </c>
      <c r="T473" s="446"/>
      <c r="V473" s="402" t="s">
        <v>1319</v>
      </c>
      <c r="W473" s="379" t="s">
        <v>580</v>
      </c>
      <c r="X473" s="435" t="s">
        <v>977</v>
      </c>
    </row>
    <row r="474" spans="18:24">
      <c r="R474" s="431" t="s">
        <v>1525</v>
      </c>
      <c r="S474" s="443" t="s">
        <v>1526</v>
      </c>
      <c r="T474" s="446"/>
      <c r="V474" s="402" t="s">
        <v>1379</v>
      </c>
      <c r="W474" s="379" t="s">
        <v>691</v>
      </c>
      <c r="X474" s="435"/>
    </row>
    <row r="475" spans="18:24">
      <c r="R475" s="431" t="s">
        <v>1527</v>
      </c>
      <c r="S475" s="443" t="s">
        <v>1528</v>
      </c>
      <c r="T475" s="446"/>
      <c r="V475" s="402" t="s">
        <v>1355</v>
      </c>
      <c r="W475" s="379" t="s">
        <v>672</v>
      </c>
      <c r="X475" s="435" t="s">
        <v>903</v>
      </c>
    </row>
    <row r="476" spans="18:24">
      <c r="R476" s="431" t="s">
        <v>2056</v>
      </c>
      <c r="S476" s="443" t="s">
        <v>1529</v>
      </c>
      <c r="T476" s="446"/>
      <c r="V476" s="402" t="s">
        <v>1314</v>
      </c>
      <c r="W476" s="379" t="s">
        <v>573</v>
      </c>
      <c r="X476" s="435" t="s">
        <v>992</v>
      </c>
    </row>
    <row r="477" spans="18:24">
      <c r="R477" s="432" t="s">
        <v>2055</v>
      </c>
      <c r="S477" s="443" t="s">
        <v>1769</v>
      </c>
      <c r="T477" s="446"/>
      <c r="V477" s="402" t="s">
        <v>1332</v>
      </c>
      <c r="W477" s="379" t="s">
        <v>605</v>
      </c>
      <c r="X477" s="435" t="s">
        <v>986</v>
      </c>
    </row>
    <row r="478" spans="18:24">
      <c r="R478" s="432" t="s">
        <v>2054</v>
      </c>
      <c r="S478" s="443" t="s">
        <v>1767</v>
      </c>
      <c r="T478" s="446"/>
      <c r="V478" s="402" t="s">
        <v>1224</v>
      </c>
      <c r="W478" s="379" t="s">
        <v>549</v>
      </c>
      <c r="X478" s="435"/>
    </row>
    <row r="479" spans="18:24">
      <c r="R479" s="431" t="s">
        <v>1530</v>
      </c>
      <c r="S479" s="443" t="s">
        <v>1531</v>
      </c>
      <c r="T479" s="446"/>
      <c r="V479" s="402" t="s">
        <v>1368</v>
      </c>
      <c r="W479" s="477" t="s">
        <v>561</v>
      </c>
      <c r="X479" s="435" t="s">
        <v>997</v>
      </c>
    </row>
    <row r="480" spans="18:24">
      <c r="R480" s="431" t="s">
        <v>1532</v>
      </c>
      <c r="S480" s="443" t="s">
        <v>1533</v>
      </c>
      <c r="T480" s="446"/>
      <c r="V480" s="402" t="s">
        <v>1315</v>
      </c>
      <c r="W480" s="379" t="s">
        <v>574</v>
      </c>
      <c r="X480" s="435" t="s">
        <v>988</v>
      </c>
    </row>
    <row r="481" spans="18:24">
      <c r="R481" s="431" t="s">
        <v>1534</v>
      </c>
      <c r="S481" s="443" t="s">
        <v>1535</v>
      </c>
      <c r="T481" s="446"/>
      <c r="V481" s="402" t="s">
        <v>1295</v>
      </c>
      <c r="W481" s="379" t="s">
        <v>551</v>
      </c>
      <c r="X481" s="435"/>
    </row>
    <row r="482" spans="18:24">
      <c r="R482" s="431" t="s">
        <v>1536</v>
      </c>
      <c r="S482" s="443" t="s">
        <v>1537</v>
      </c>
      <c r="T482" s="446"/>
      <c r="V482" s="402" t="s">
        <v>1342</v>
      </c>
      <c r="W482" s="379" t="s">
        <v>640</v>
      </c>
      <c r="X482" s="435" t="s">
        <v>349</v>
      </c>
    </row>
    <row r="483" spans="18:24">
      <c r="R483" s="431" t="s">
        <v>2057</v>
      </c>
      <c r="S483" s="443" t="s">
        <v>1538</v>
      </c>
      <c r="T483" s="446"/>
      <c r="V483" s="402" t="s">
        <v>1358</v>
      </c>
      <c r="W483" s="379" t="s">
        <v>679</v>
      </c>
      <c r="X483" s="435" t="s">
        <v>993</v>
      </c>
    </row>
    <row r="484" spans="18:24">
      <c r="R484" s="434" t="s">
        <v>1539</v>
      </c>
      <c r="S484" s="445" t="s">
        <v>1540</v>
      </c>
      <c r="T484" s="446"/>
      <c r="V484" s="402" t="s">
        <v>1145</v>
      </c>
      <c r="W484" s="379" t="s">
        <v>646</v>
      </c>
      <c r="X484" s="435" t="s">
        <v>998</v>
      </c>
    </row>
    <row r="485" spans="18:24">
      <c r="R485" s="431" t="s">
        <v>1541</v>
      </c>
      <c r="S485" s="443" t="s">
        <v>1542</v>
      </c>
      <c r="T485" s="446"/>
      <c r="V485" s="402" t="s">
        <v>1340</v>
      </c>
      <c r="W485" s="379" t="s">
        <v>633</v>
      </c>
      <c r="X485" s="435" t="s">
        <v>994</v>
      </c>
    </row>
    <row r="486" spans="18:24">
      <c r="R486" s="431" t="s">
        <v>2155</v>
      </c>
      <c r="S486" s="443">
        <v>1612</v>
      </c>
      <c r="T486" s="446"/>
      <c r="V486" s="402" t="s">
        <v>1147</v>
      </c>
      <c r="W486" s="379" t="s">
        <v>596</v>
      </c>
      <c r="X486" s="435" t="s">
        <v>904</v>
      </c>
    </row>
    <row r="487" spans="18:24">
      <c r="R487" s="431" t="s">
        <v>1543</v>
      </c>
      <c r="S487" s="443" t="s">
        <v>1544</v>
      </c>
      <c r="T487" s="446"/>
      <c r="V487" s="402" t="s">
        <v>1387</v>
      </c>
      <c r="W487" s="477" t="s">
        <v>1149</v>
      </c>
      <c r="X487" s="435" t="s">
        <v>989</v>
      </c>
    </row>
    <row r="488" spans="18:24">
      <c r="R488" s="432" t="s">
        <v>2136</v>
      </c>
      <c r="S488" s="444" t="s">
        <v>1972</v>
      </c>
      <c r="T488" s="446"/>
      <c r="V488" s="402" t="s">
        <v>1387</v>
      </c>
      <c r="W488" s="477" t="s">
        <v>2232</v>
      </c>
      <c r="X488" s="435" t="s">
        <v>989</v>
      </c>
    </row>
    <row r="489" spans="18:24">
      <c r="R489" s="431" t="s">
        <v>1545</v>
      </c>
      <c r="S489" s="443" t="s">
        <v>1546</v>
      </c>
      <c r="T489" s="446"/>
      <c r="V489" s="402" t="s">
        <v>2225</v>
      </c>
      <c r="W489" s="477" t="s">
        <v>578</v>
      </c>
      <c r="X489" s="435" t="s">
        <v>987</v>
      </c>
    </row>
    <row r="490" spans="18:24">
      <c r="R490" s="432" t="s">
        <v>2066</v>
      </c>
      <c r="S490" s="444" t="s">
        <v>1568</v>
      </c>
      <c r="T490" s="446"/>
      <c r="V490" s="402" t="s">
        <v>1359</v>
      </c>
      <c r="W490" s="379" t="s">
        <v>680</v>
      </c>
      <c r="X490" s="435" t="s">
        <v>905</v>
      </c>
    </row>
    <row r="491" spans="18:24">
      <c r="R491" s="431" t="s">
        <v>2059</v>
      </c>
      <c r="S491" s="443" t="s">
        <v>1547</v>
      </c>
      <c r="T491" s="446"/>
      <c r="V491" s="402" t="s">
        <v>1359</v>
      </c>
      <c r="W491" s="379" t="s">
        <v>681</v>
      </c>
      <c r="X491" s="435" t="s">
        <v>906</v>
      </c>
    </row>
    <row r="492" spans="18:24">
      <c r="R492" s="431" t="s">
        <v>1548</v>
      </c>
      <c r="S492" s="443" t="s">
        <v>1549</v>
      </c>
      <c r="T492" s="446"/>
      <c r="V492" s="402" t="s">
        <v>1151</v>
      </c>
      <c r="W492" s="379" t="s">
        <v>615</v>
      </c>
      <c r="X492" s="435" t="s">
        <v>995</v>
      </c>
    </row>
    <row r="493" spans="18:24">
      <c r="R493" s="431" t="s">
        <v>2153</v>
      </c>
      <c r="S493" s="443">
        <v>1612</v>
      </c>
      <c r="T493" s="446"/>
      <c r="V493" s="402" t="s">
        <v>1067</v>
      </c>
      <c r="W493" s="379" t="s">
        <v>547</v>
      </c>
      <c r="X493" s="435" t="s">
        <v>1024</v>
      </c>
    </row>
    <row r="494" spans="18:24">
      <c r="R494" s="431" t="s">
        <v>2029</v>
      </c>
      <c r="S494" s="443" t="s">
        <v>1550</v>
      </c>
      <c r="T494" s="447"/>
      <c r="V494" s="402" t="s">
        <v>1335</v>
      </c>
      <c r="W494" s="379" t="s">
        <v>618</v>
      </c>
      <c r="X494" s="435" t="s">
        <v>996</v>
      </c>
    </row>
    <row r="495" spans="18:24">
      <c r="R495" s="431" t="s">
        <v>2038</v>
      </c>
      <c r="S495" s="443" t="s">
        <v>1551</v>
      </c>
      <c r="T495" s="446"/>
      <c r="V495" s="402" t="s">
        <v>1281</v>
      </c>
      <c r="W495" s="379" t="s">
        <v>513</v>
      </c>
      <c r="X495" s="435" t="s">
        <v>1000</v>
      </c>
    </row>
    <row r="496" spans="18:24">
      <c r="R496" s="431" t="s">
        <v>2028</v>
      </c>
      <c r="S496" s="443" t="s">
        <v>1552</v>
      </c>
      <c r="T496" s="446"/>
      <c r="V496" s="402" t="s">
        <v>1222</v>
      </c>
      <c r="W496" s="379" t="s">
        <v>585</v>
      </c>
      <c r="X496" s="435" t="s">
        <v>999</v>
      </c>
    </row>
    <row r="497" spans="18:24">
      <c r="R497" s="431" t="s">
        <v>2039</v>
      </c>
      <c r="S497" s="443" t="s">
        <v>1553</v>
      </c>
      <c r="T497" s="446"/>
      <c r="V497" s="402" t="s">
        <v>1232</v>
      </c>
      <c r="W497" s="379" t="s">
        <v>622</v>
      </c>
      <c r="X497" s="435" t="s">
        <v>1240</v>
      </c>
    </row>
    <row r="498" spans="18:24">
      <c r="R498" s="431" t="s">
        <v>1554</v>
      </c>
      <c r="S498" s="443" t="s">
        <v>1555</v>
      </c>
      <c r="T498" s="446"/>
      <c r="V498" s="402" t="s">
        <v>1299</v>
      </c>
      <c r="W498" s="379" t="s">
        <v>555</v>
      </c>
      <c r="X498" s="435" t="s">
        <v>1002</v>
      </c>
    </row>
    <row r="499" spans="18:24">
      <c r="R499" s="431" t="s">
        <v>1556</v>
      </c>
      <c r="S499" s="443" t="s">
        <v>1557</v>
      </c>
      <c r="T499" s="446"/>
      <c r="V499" s="402" t="s">
        <v>1153</v>
      </c>
      <c r="W499" s="379" t="s">
        <v>657</v>
      </c>
      <c r="X499" s="435" t="s">
        <v>963</v>
      </c>
    </row>
    <row r="500" spans="18:24">
      <c r="R500" s="431" t="s">
        <v>1558</v>
      </c>
      <c r="S500" s="443" t="s">
        <v>1559</v>
      </c>
      <c r="T500" s="446"/>
      <c r="V500" s="402" t="s">
        <v>1316</v>
      </c>
      <c r="W500" s="379" t="s">
        <v>575</v>
      </c>
      <c r="X500" s="435" t="s">
        <v>1018</v>
      </c>
    </row>
    <row r="501" spans="18:24">
      <c r="R501" s="431" t="s">
        <v>2062</v>
      </c>
      <c r="S501" s="443" t="s">
        <v>1560</v>
      </c>
      <c r="T501" s="446"/>
      <c r="V501" s="402" t="s">
        <v>1155</v>
      </c>
      <c r="W501" s="379" t="s">
        <v>637</v>
      </c>
      <c r="X501" s="435" t="s">
        <v>1018</v>
      </c>
    </row>
    <row r="502" spans="18:24">
      <c r="R502" s="431" t="s">
        <v>2063</v>
      </c>
      <c r="S502" s="443" t="s">
        <v>1561</v>
      </c>
      <c r="T502" s="446"/>
      <c r="V502" s="402" t="s">
        <v>1322</v>
      </c>
      <c r="W502" s="379" t="s">
        <v>584</v>
      </c>
      <c r="X502" s="435" t="s">
        <v>1003</v>
      </c>
    </row>
    <row r="503" spans="18:24">
      <c r="R503" s="431" t="s">
        <v>2064</v>
      </c>
      <c r="S503" s="443" t="s">
        <v>1562</v>
      </c>
      <c r="T503" s="446"/>
      <c r="V503" s="402" t="s">
        <v>1282</v>
      </c>
      <c r="W503" s="379" t="s">
        <v>516</v>
      </c>
      <c r="X503" s="435" t="s">
        <v>1004</v>
      </c>
    </row>
    <row r="504" spans="18:24">
      <c r="R504" s="431" t="s">
        <v>2065</v>
      </c>
      <c r="S504" s="443" t="s">
        <v>1563</v>
      </c>
      <c r="T504" s="447"/>
      <c r="V504" s="402" t="s">
        <v>1321</v>
      </c>
      <c r="W504" s="379" t="s">
        <v>583</v>
      </c>
      <c r="X504" s="435" t="s">
        <v>1005</v>
      </c>
    </row>
    <row r="505" spans="18:24">
      <c r="R505" s="431" t="s">
        <v>1564</v>
      </c>
      <c r="S505" s="443" t="s">
        <v>1565</v>
      </c>
      <c r="T505" s="447"/>
      <c r="V505" s="402" t="s">
        <v>1156</v>
      </c>
      <c r="W505" s="379" t="s">
        <v>1156</v>
      </c>
      <c r="X505" s="435" t="s">
        <v>1007</v>
      </c>
    </row>
    <row r="506" spans="18:24">
      <c r="R506" s="431" t="s">
        <v>1566</v>
      </c>
      <c r="S506" s="443" t="s">
        <v>1567</v>
      </c>
      <c r="T506" s="446"/>
      <c r="V506" s="402" t="s">
        <v>1285</v>
      </c>
      <c r="W506" s="379" t="s">
        <v>522</v>
      </c>
      <c r="X506" s="435" t="s">
        <v>1006</v>
      </c>
    </row>
    <row r="507" spans="18:24">
      <c r="R507" s="431" t="s">
        <v>2067</v>
      </c>
      <c r="S507" s="443" t="s">
        <v>1568</v>
      </c>
      <c r="T507" s="446"/>
      <c r="V507" s="402" t="s">
        <v>1277</v>
      </c>
      <c r="W507" s="379" t="s">
        <v>507</v>
      </c>
      <c r="X507" s="435" t="s">
        <v>901</v>
      </c>
    </row>
    <row r="508" spans="18:24">
      <c r="R508" s="431" t="s">
        <v>2030</v>
      </c>
      <c r="S508" s="443" t="s">
        <v>1569</v>
      </c>
      <c r="T508" s="446"/>
      <c r="V508" s="402" t="s">
        <v>1317</v>
      </c>
      <c r="W508" s="379" t="s">
        <v>577</v>
      </c>
      <c r="X508" s="435" t="s">
        <v>1008</v>
      </c>
    </row>
    <row r="509" spans="18:24">
      <c r="R509" s="431" t="s">
        <v>1570</v>
      </c>
      <c r="S509" s="443" t="s">
        <v>1571</v>
      </c>
      <c r="T509" s="446"/>
      <c r="V509" s="402" t="s">
        <v>1306</v>
      </c>
      <c r="W509" s="379" t="s">
        <v>563</v>
      </c>
      <c r="X509" s="435" t="s">
        <v>1015</v>
      </c>
    </row>
    <row r="510" spans="18:24">
      <c r="R510" s="432" t="s">
        <v>2047</v>
      </c>
      <c r="S510" s="444">
        <v>1408</v>
      </c>
      <c r="T510" s="446"/>
      <c r="V510" s="402" t="s">
        <v>1292</v>
      </c>
      <c r="W510" s="379" t="s">
        <v>543</v>
      </c>
      <c r="X510" s="435" t="s">
        <v>1011</v>
      </c>
    </row>
    <row r="511" spans="18:24">
      <c r="R511" s="431" t="s">
        <v>1572</v>
      </c>
      <c r="S511" s="443" t="s">
        <v>1573</v>
      </c>
      <c r="T511" s="446"/>
      <c r="V511" s="402" t="s">
        <v>1157</v>
      </c>
      <c r="W511" s="379" t="s">
        <v>569</v>
      </c>
      <c r="X511" s="435" t="s">
        <v>1012</v>
      </c>
    </row>
    <row r="512" spans="18:24">
      <c r="R512" s="431" t="s">
        <v>1574</v>
      </c>
      <c r="S512" s="443" t="s">
        <v>1575</v>
      </c>
      <c r="T512" s="446"/>
      <c r="V512" s="402" t="s">
        <v>1376</v>
      </c>
      <c r="W512" s="379" t="s">
        <v>527</v>
      </c>
      <c r="X512" s="435" t="s">
        <v>1013</v>
      </c>
    </row>
    <row r="513" spans="18:24">
      <c r="R513" s="431" t="s">
        <v>1576</v>
      </c>
      <c r="S513" s="443" t="s">
        <v>1577</v>
      </c>
      <c r="T513" s="447"/>
      <c r="V513" s="402" t="s">
        <v>1159</v>
      </c>
      <c r="W513" s="379" t="s">
        <v>514</v>
      </c>
      <c r="X513" s="435" t="s">
        <v>1019</v>
      </c>
    </row>
    <row r="514" spans="18:24">
      <c r="R514" s="431" t="s">
        <v>1578</v>
      </c>
      <c r="S514" s="443" t="s">
        <v>1579</v>
      </c>
      <c r="T514" s="446"/>
      <c r="V514" s="402" t="s">
        <v>1161</v>
      </c>
      <c r="W514" s="379" t="s">
        <v>631</v>
      </c>
      <c r="X514" s="435" t="s">
        <v>1010</v>
      </c>
    </row>
    <row r="515" spans="18:24">
      <c r="R515" s="431" t="s">
        <v>1580</v>
      </c>
      <c r="S515" s="443" t="s">
        <v>1581</v>
      </c>
      <c r="T515" s="446"/>
      <c r="V515" s="402" t="s">
        <v>1333</v>
      </c>
      <c r="W515" s="379" t="s">
        <v>606</v>
      </c>
      <c r="X515" s="435" t="s">
        <v>1014</v>
      </c>
    </row>
    <row r="516" spans="18:24">
      <c r="R516" s="431" t="s">
        <v>1582</v>
      </c>
      <c r="S516" s="443" t="s">
        <v>1583</v>
      </c>
      <c r="T516" s="447"/>
      <c r="V516" s="402" t="s">
        <v>1237</v>
      </c>
      <c r="W516" s="379" t="s">
        <v>624</v>
      </c>
      <c r="X516" s="435" t="s">
        <v>1017</v>
      </c>
    </row>
    <row r="517" spans="18:24">
      <c r="R517" s="432" t="s">
        <v>2165</v>
      </c>
      <c r="S517" s="444" t="s">
        <v>1612</v>
      </c>
      <c r="T517" s="446"/>
      <c r="V517" s="402" t="s">
        <v>1162</v>
      </c>
      <c r="W517" s="379" t="s">
        <v>610</v>
      </c>
      <c r="X517" s="435" t="s">
        <v>271</v>
      </c>
    </row>
    <row r="518" spans="18:24">
      <c r="R518" s="431" t="s">
        <v>1584</v>
      </c>
      <c r="S518" s="443" t="s">
        <v>1585</v>
      </c>
      <c r="T518" s="446"/>
      <c r="V518" s="402" t="s">
        <v>1307</v>
      </c>
      <c r="W518" s="379" t="s">
        <v>565</v>
      </c>
      <c r="X518" s="435" t="s">
        <v>1016</v>
      </c>
    </row>
    <row r="519" spans="18:24">
      <c r="R519" s="431" t="s">
        <v>1586</v>
      </c>
      <c r="S519" s="443" t="s">
        <v>1587</v>
      </c>
      <c r="T519" s="446"/>
      <c r="V519" s="402" t="s">
        <v>1378</v>
      </c>
      <c r="W519" s="379" t="s">
        <v>636</v>
      </c>
      <c r="X519" s="435"/>
    </row>
    <row r="520" spans="18:24">
      <c r="R520" s="431" t="s">
        <v>2069</v>
      </c>
      <c r="S520" s="443" t="s">
        <v>1588</v>
      </c>
      <c r="T520" s="446"/>
      <c r="V520" s="402" t="s">
        <v>1166</v>
      </c>
      <c r="W520" s="379" t="s">
        <v>635</v>
      </c>
      <c r="X520" s="435" t="s">
        <v>1021</v>
      </c>
    </row>
    <row r="521" spans="18:24">
      <c r="R521" s="431" t="s">
        <v>1589</v>
      </c>
      <c r="S521" s="443" t="s">
        <v>1590</v>
      </c>
      <c r="T521" s="446"/>
      <c r="V521" s="402" t="s">
        <v>1167</v>
      </c>
      <c r="W521" s="379" t="s">
        <v>619</v>
      </c>
      <c r="X521" s="435" t="s">
        <v>1025</v>
      </c>
    </row>
    <row r="522" spans="18:24">
      <c r="R522" s="431" t="s">
        <v>1591</v>
      </c>
      <c r="S522" s="443" t="s">
        <v>1592</v>
      </c>
      <c r="T522" s="446"/>
      <c r="V522" s="402" t="s">
        <v>1169</v>
      </c>
      <c r="W522" s="379" t="s">
        <v>612</v>
      </c>
      <c r="X522" s="435" t="s">
        <v>1023</v>
      </c>
    </row>
    <row r="523" spans="18:24">
      <c r="R523" s="431" t="s">
        <v>1593</v>
      </c>
      <c r="S523" s="443" t="s">
        <v>1594</v>
      </c>
      <c r="T523" s="446"/>
      <c r="V523" s="402" t="s">
        <v>1362</v>
      </c>
      <c r="W523" s="379" t="s">
        <v>684</v>
      </c>
      <c r="X523" s="435" t="s">
        <v>1022</v>
      </c>
    </row>
    <row r="524" spans="18:24">
      <c r="R524" s="431" t="s">
        <v>2071</v>
      </c>
      <c r="S524" s="443" t="s">
        <v>1595</v>
      </c>
      <c r="T524" s="446"/>
      <c r="V524" s="402" t="s">
        <v>1362</v>
      </c>
      <c r="W524" s="379" t="s">
        <v>2231</v>
      </c>
      <c r="X524" s="435" t="s">
        <v>1022</v>
      </c>
    </row>
    <row r="525" spans="18:24">
      <c r="R525" s="431" t="s">
        <v>2144</v>
      </c>
      <c r="S525" s="443">
        <v>1662</v>
      </c>
      <c r="T525" s="446"/>
      <c r="V525" s="402" t="s">
        <v>1289</v>
      </c>
      <c r="W525" s="379" t="s">
        <v>536</v>
      </c>
      <c r="X525" s="435" t="s">
        <v>1026</v>
      </c>
    </row>
    <row r="526" spans="18:24">
      <c r="R526" s="431" t="s">
        <v>1596</v>
      </c>
      <c r="S526" s="443" t="s">
        <v>1597</v>
      </c>
      <c r="T526" s="446"/>
      <c r="V526" s="402" t="s">
        <v>1170</v>
      </c>
      <c r="W526" s="379" t="s">
        <v>1386</v>
      </c>
      <c r="X526" s="435" t="s">
        <v>1029</v>
      </c>
    </row>
    <row r="527" spans="18:24">
      <c r="R527" s="432" t="s">
        <v>2072</v>
      </c>
      <c r="S527" s="444" t="s">
        <v>1598</v>
      </c>
      <c r="T527" s="446"/>
      <c r="V527" s="402" t="s">
        <v>1356</v>
      </c>
      <c r="W527" s="379" t="s">
        <v>673</v>
      </c>
      <c r="X527" s="435" t="s">
        <v>1027</v>
      </c>
    </row>
    <row r="528" spans="18:24">
      <c r="R528" s="432" t="s">
        <v>2068</v>
      </c>
      <c r="S528" s="444" t="s">
        <v>1571</v>
      </c>
      <c r="T528" s="446"/>
      <c r="V528" s="402" t="s">
        <v>1345</v>
      </c>
      <c r="W528" s="379" t="s">
        <v>649</v>
      </c>
      <c r="X528" s="435" t="s">
        <v>1030</v>
      </c>
    </row>
    <row r="529" spans="18:24">
      <c r="R529" s="431" t="s">
        <v>2073</v>
      </c>
      <c r="S529" s="443" t="s">
        <v>1598</v>
      </c>
      <c r="T529" s="446"/>
      <c r="V529" s="402" t="s">
        <v>1346</v>
      </c>
      <c r="W529" s="379" t="s">
        <v>650</v>
      </c>
      <c r="X529" s="435" t="s">
        <v>328</v>
      </c>
    </row>
    <row r="530" spans="18:24">
      <c r="R530" s="431" t="s">
        <v>1599</v>
      </c>
      <c r="S530" s="443" t="s">
        <v>1600</v>
      </c>
      <c r="T530" s="447"/>
      <c r="V530" s="402" t="s">
        <v>1280</v>
      </c>
      <c r="W530" s="379" t="s">
        <v>512</v>
      </c>
      <c r="X530" s="435" t="s">
        <v>1028</v>
      </c>
    </row>
    <row r="531" spans="18:24">
      <c r="R531" s="431" t="s">
        <v>1601</v>
      </c>
      <c r="S531" s="443" t="s">
        <v>1602</v>
      </c>
      <c r="T531" s="446"/>
      <c r="V531" s="402" t="s">
        <v>1283</v>
      </c>
      <c r="W531" s="379" t="s">
        <v>518</v>
      </c>
      <c r="X531" s="435" t="s">
        <v>1366</v>
      </c>
    </row>
    <row r="532" spans="18:24">
      <c r="R532" s="432" t="s">
        <v>2074</v>
      </c>
      <c r="S532" s="444" t="s">
        <v>1603</v>
      </c>
      <c r="T532" s="446"/>
      <c r="V532" s="402" t="s">
        <v>1347</v>
      </c>
      <c r="W532" s="379" t="s">
        <v>651</v>
      </c>
      <c r="X532" s="435" t="s">
        <v>240</v>
      </c>
    </row>
    <row r="533" spans="18:24">
      <c r="R533" s="431" t="s">
        <v>2075</v>
      </c>
      <c r="S533" s="443" t="s">
        <v>1603</v>
      </c>
      <c r="T533" s="447"/>
      <c r="V533" s="402" t="s">
        <v>1279</v>
      </c>
      <c r="W533" s="379" t="s">
        <v>510</v>
      </c>
      <c r="X533" s="435" t="s">
        <v>1031</v>
      </c>
    </row>
    <row r="534" spans="18:24">
      <c r="R534" s="431" t="s">
        <v>2077</v>
      </c>
      <c r="S534" s="443" t="s">
        <v>1604</v>
      </c>
      <c r="T534" s="446"/>
      <c r="V534" s="402" t="s">
        <v>2223</v>
      </c>
      <c r="W534" s="477" t="s">
        <v>568</v>
      </c>
      <c r="X534" s="435" t="s">
        <v>991</v>
      </c>
    </row>
    <row r="535" spans="18:24">
      <c r="R535" s="431" t="s">
        <v>1605</v>
      </c>
      <c r="S535" s="443" t="s">
        <v>1606</v>
      </c>
      <c r="T535" s="446"/>
      <c r="V535" s="402" t="s">
        <v>1338</v>
      </c>
      <c r="W535" s="379" t="s">
        <v>627</v>
      </c>
      <c r="X535" s="435" t="s">
        <v>1032</v>
      </c>
    </row>
    <row r="536" spans="18:24">
      <c r="R536" s="431" t="s">
        <v>1607</v>
      </c>
      <c r="S536" s="443" t="s">
        <v>1608</v>
      </c>
      <c r="T536" s="446"/>
      <c r="V536" s="402" t="s">
        <v>1360</v>
      </c>
      <c r="W536" s="379" t="s">
        <v>682</v>
      </c>
      <c r="X536" s="435" t="s">
        <v>345</v>
      </c>
    </row>
    <row r="537" spans="18:24">
      <c r="R537" s="431" t="s">
        <v>2078</v>
      </c>
      <c r="S537" s="443" t="s">
        <v>1609</v>
      </c>
      <c r="T537" s="447"/>
      <c r="V537" s="402" t="s">
        <v>1211</v>
      </c>
      <c r="W537" s="379" t="s">
        <v>652</v>
      </c>
      <c r="X537" s="435" t="s">
        <v>902</v>
      </c>
    </row>
    <row r="538" spans="18:24">
      <c r="R538" s="431" t="s">
        <v>1610</v>
      </c>
      <c r="S538" s="443" t="s">
        <v>1611</v>
      </c>
      <c r="T538" s="446"/>
      <c r="V538" s="402" t="s">
        <v>1324</v>
      </c>
      <c r="W538" s="379" t="s">
        <v>587</v>
      </c>
      <c r="X538" s="435" t="s">
        <v>244</v>
      </c>
    </row>
    <row r="539" spans="18:24">
      <c r="R539" s="432" t="s">
        <v>2127</v>
      </c>
      <c r="S539" s="444" t="s">
        <v>1853</v>
      </c>
      <c r="T539" s="447"/>
      <c r="V539" s="402" t="s">
        <v>1172</v>
      </c>
      <c r="W539" s="379" t="s">
        <v>654</v>
      </c>
      <c r="X539" s="435" t="s">
        <v>907</v>
      </c>
    </row>
    <row r="540" spans="18:24">
      <c r="R540" s="431" t="s">
        <v>2080</v>
      </c>
      <c r="S540" s="443" t="s">
        <v>1612</v>
      </c>
      <c r="T540" s="446"/>
      <c r="V540" s="402" t="s">
        <v>1265</v>
      </c>
      <c r="W540" s="379" t="s">
        <v>664</v>
      </c>
      <c r="X540" s="435" t="s">
        <v>921</v>
      </c>
    </row>
    <row r="541" spans="18:24">
      <c r="R541" s="431" t="s">
        <v>2081</v>
      </c>
      <c r="S541" s="443" t="s">
        <v>1613</v>
      </c>
      <c r="T541" s="446"/>
      <c r="V541" s="402" t="s">
        <v>1251</v>
      </c>
      <c r="W541" s="379" t="s">
        <v>670</v>
      </c>
      <c r="X541" s="435" t="s">
        <v>908</v>
      </c>
    </row>
    <row r="542" spans="18:24">
      <c r="R542" s="432" t="s">
        <v>2079</v>
      </c>
      <c r="S542" s="444" t="s">
        <v>1612</v>
      </c>
      <c r="T542" s="446"/>
      <c r="V542" s="402" t="s">
        <v>1176</v>
      </c>
      <c r="W542" s="379" t="s">
        <v>603</v>
      </c>
      <c r="X542" s="435" t="s">
        <v>910</v>
      </c>
    </row>
    <row r="543" spans="18:24">
      <c r="R543" s="431" t="s">
        <v>2083</v>
      </c>
      <c r="S543" s="443" t="s">
        <v>1616</v>
      </c>
      <c r="T543" s="446"/>
      <c r="V543" s="402" t="s">
        <v>1174</v>
      </c>
      <c r="W543" s="379" t="s">
        <v>532</v>
      </c>
      <c r="X543" s="435" t="s">
        <v>911</v>
      </c>
    </row>
    <row r="544" spans="18:24">
      <c r="R544" s="431" t="s">
        <v>1614</v>
      </c>
      <c r="S544" s="443" t="s">
        <v>1615</v>
      </c>
      <c r="T544" s="446"/>
      <c r="V544" s="402" t="s">
        <v>1343</v>
      </c>
      <c r="W544" s="379" t="s">
        <v>647</v>
      </c>
      <c r="X544" s="435" t="s">
        <v>317</v>
      </c>
    </row>
    <row r="545" spans="18:24">
      <c r="R545" s="432" t="s">
        <v>2082</v>
      </c>
      <c r="S545" s="444" t="s">
        <v>1615</v>
      </c>
      <c r="T545" s="447"/>
      <c r="V545" s="402" t="s">
        <v>1309</v>
      </c>
      <c r="W545" s="379" t="s">
        <v>567</v>
      </c>
      <c r="X545" s="435" t="s">
        <v>380</v>
      </c>
    </row>
    <row r="546" spans="18:24">
      <c r="R546" s="431" t="s">
        <v>1617</v>
      </c>
      <c r="S546" s="443" t="s">
        <v>1618</v>
      </c>
      <c r="T546" s="447"/>
      <c r="V546" s="402" t="s">
        <v>1298</v>
      </c>
      <c r="W546" s="379" t="s">
        <v>554</v>
      </c>
      <c r="X546" s="435" t="s">
        <v>912</v>
      </c>
    </row>
    <row r="547" spans="18:24">
      <c r="R547" s="431" t="s">
        <v>1619</v>
      </c>
      <c r="S547" s="443" t="s">
        <v>1620</v>
      </c>
      <c r="T547" s="446"/>
      <c r="V547" s="402" t="s">
        <v>1177</v>
      </c>
      <c r="W547" s="379" t="s">
        <v>523</v>
      </c>
      <c r="X547" s="435" t="s">
        <v>909</v>
      </c>
    </row>
    <row r="548" spans="18:24">
      <c r="R548" s="432" t="s">
        <v>2070</v>
      </c>
      <c r="S548" s="444" t="s">
        <v>1595</v>
      </c>
      <c r="T548" s="447"/>
      <c r="V548" s="402" t="s">
        <v>1228</v>
      </c>
      <c r="W548" s="379" t="s">
        <v>597</v>
      </c>
      <c r="X548" s="435" t="s">
        <v>1046</v>
      </c>
    </row>
    <row r="549" spans="18:24">
      <c r="R549" s="431" t="s">
        <v>2084</v>
      </c>
      <c r="S549" s="443" t="s">
        <v>1621</v>
      </c>
      <c r="T549" s="446"/>
      <c r="V549" s="402" t="s">
        <v>1179</v>
      </c>
      <c r="W549" s="379" t="s">
        <v>674</v>
      </c>
      <c r="X549" s="435" t="s">
        <v>924</v>
      </c>
    </row>
    <row r="550" spans="18:24">
      <c r="R550" s="431" t="s">
        <v>1622</v>
      </c>
      <c r="S550" s="443" t="s">
        <v>1623</v>
      </c>
      <c r="T550" s="446"/>
      <c r="V550" s="402" t="s">
        <v>1180</v>
      </c>
      <c r="W550" s="379" t="s">
        <v>599</v>
      </c>
      <c r="X550" s="435" t="s">
        <v>922</v>
      </c>
    </row>
    <row r="551" spans="18:24">
      <c r="R551" s="431" t="s">
        <v>1624</v>
      </c>
      <c r="S551" s="443" t="s">
        <v>1625</v>
      </c>
      <c r="T551" s="446"/>
      <c r="V551" s="402" t="s">
        <v>1105</v>
      </c>
      <c r="W551" s="379" t="s">
        <v>593</v>
      </c>
      <c r="X551" s="435" t="s">
        <v>914</v>
      </c>
    </row>
    <row r="552" spans="18:24">
      <c r="R552" s="432" t="s">
        <v>2086</v>
      </c>
      <c r="S552" s="443" t="s">
        <v>1626</v>
      </c>
      <c r="T552" s="446"/>
      <c r="V552" s="402" t="s">
        <v>1302</v>
      </c>
      <c r="W552" s="379" t="s">
        <v>558</v>
      </c>
      <c r="X552" s="435" t="s">
        <v>915</v>
      </c>
    </row>
    <row r="553" spans="18:24">
      <c r="R553" s="431" t="s">
        <v>2087</v>
      </c>
      <c r="S553" s="443" t="s">
        <v>1626</v>
      </c>
      <c r="T553" s="446"/>
      <c r="V553" s="402" t="s">
        <v>1182</v>
      </c>
      <c r="W553" s="379" t="s">
        <v>529</v>
      </c>
      <c r="X553" s="435" t="s">
        <v>919</v>
      </c>
    </row>
    <row r="554" spans="18:24">
      <c r="R554" s="432" t="s">
        <v>2085</v>
      </c>
      <c r="S554" s="443" t="s">
        <v>1626</v>
      </c>
      <c r="T554" s="446"/>
      <c r="V554" s="402" t="s">
        <v>1294</v>
      </c>
      <c r="W554" s="379" t="s">
        <v>550</v>
      </c>
      <c r="X554" s="435" t="s">
        <v>913</v>
      </c>
    </row>
    <row r="555" spans="18:24">
      <c r="R555" s="431" t="s">
        <v>1627</v>
      </c>
      <c r="S555" s="443" t="s">
        <v>1628</v>
      </c>
      <c r="T555" s="446"/>
      <c r="V555" s="402" t="s">
        <v>1337</v>
      </c>
      <c r="W555" s="379" t="s">
        <v>625</v>
      </c>
      <c r="X555" s="435" t="s">
        <v>918</v>
      </c>
    </row>
    <row r="556" spans="18:24">
      <c r="R556" s="431" t="s">
        <v>1629</v>
      </c>
      <c r="S556" s="443" t="s">
        <v>1630</v>
      </c>
      <c r="T556" s="446"/>
      <c r="V556" s="402" t="s">
        <v>1184</v>
      </c>
      <c r="W556" s="379" t="s">
        <v>2227</v>
      </c>
      <c r="X556" s="435" t="s">
        <v>920</v>
      </c>
    </row>
    <row r="557" spans="18:24">
      <c r="R557" s="431" t="s">
        <v>1631</v>
      </c>
      <c r="S557" s="443" t="s">
        <v>1632</v>
      </c>
      <c r="T557" s="446"/>
      <c r="V557" s="402" t="s">
        <v>1301</v>
      </c>
      <c r="W557" s="379" t="s">
        <v>557</v>
      </c>
      <c r="X557" s="435" t="s">
        <v>506</v>
      </c>
    </row>
    <row r="558" spans="18:24">
      <c r="R558" s="431" t="s">
        <v>2089</v>
      </c>
      <c r="S558" s="443" t="s">
        <v>1633</v>
      </c>
      <c r="T558" s="446"/>
      <c r="V558" s="402" t="s">
        <v>1334</v>
      </c>
      <c r="W558" s="379" t="s">
        <v>608</v>
      </c>
      <c r="X558" s="435" t="s">
        <v>923</v>
      </c>
    </row>
    <row r="559" spans="18:24">
      <c r="R559" s="431" t="s">
        <v>1634</v>
      </c>
      <c r="S559" s="443" t="s">
        <v>1635</v>
      </c>
      <c r="T559" s="446"/>
      <c r="V559" s="402" t="s">
        <v>1357</v>
      </c>
      <c r="W559" s="379" t="s">
        <v>678</v>
      </c>
      <c r="X559" s="435" t="s">
        <v>916</v>
      </c>
    </row>
    <row r="560" spans="18:24">
      <c r="R560" s="432" t="s">
        <v>2094</v>
      </c>
      <c r="S560" s="444" t="s">
        <v>1640</v>
      </c>
      <c r="T560" s="446"/>
      <c r="V560" s="402" t="s">
        <v>1328</v>
      </c>
      <c r="W560" s="379" t="s">
        <v>592</v>
      </c>
      <c r="X560" s="435" t="s">
        <v>925</v>
      </c>
    </row>
    <row r="561" spans="18:24">
      <c r="R561" s="431" t="s">
        <v>2091</v>
      </c>
      <c r="S561" s="443" t="s">
        <v>1636</v>
      </c>
      <c r="T561" s="446"/>
      <c r="V561" s="402" t="s">
        <v>1185</v>
      </c>
      <c r="W561" s="379" t="s">
        <v>689</v>
      </c>
      <c r="X561" s="435" t="s">
        <v>930</v>
      </c>
    </row>
    <row r="562" spans="18:24">
      <c r="R562" s="431" t="s">
        <v>2093</v>
      </c>
      <c r="S562" s="443" t="s">
        <v>1637</v>
      </c>
      <c r="T562" s="446"/>
      <c r="V562" s="402" t="s">
        <v>1201</v>
      </c>
      <c r="W562" s="379" t="s">
        <v>508</v>
      </c>
      <c r="X562" s="435" t="s">
        <v>932</v>
      </c>
    </row>
    <row r="563" spans="18:24">
      <c r="R563" s="432" t="s">
        <v>2098</v>
      </c>
      <c r="S563" s="444" t="s">
        <v>1640</v>
      </c>
      <c r="T563" s="447"/>
      <c r="V563" s="402" t="s">
        <v>1193</v>
      </c>
      <c r="W563" s="477" t="s">
        <v>690</v>
      </c>
      <c r="X563" s="435" t="s">
        <v>931</v>
      </c>
    </row>
    <row r="564" spans="18:24">
      <c r="R564" s="431" t="s">
        <v>1638</v>
      </c>
      <c r="S564" s="443" t="s">
        <v>1639</v>
      </c>
      <c r="T564" s="446"/>
      <c r="V564" s="402" t="s">
        <v>2229</v>
      </c>
      <c r="W564" s="477" t="s">
        <v>2230</v>
      </c>
      <c r="X564" s="435" t="s">
        <v>931</v>
      </c>
    </row>
    <row r="565" spans="18:24">
      <c r="R565" s="431" t="s">
        <v>2096</v>
      </c>
      <c r="S565" s="443" t="s">
        <v>1641</v>
      </c>
      <c r="T565" s="446"/>
      <c r="V565" s="402" t="s">
        <v>1187</v>
      </c>
      <c r="W565" s="379" t="s">
        <v>666</v>
      </c>
      <c r="X565" s="435" t="s">
        <v>929</v>
      </c>
    </row>
    <row r="566" spans="18:24">
      <c r="R566" s="432" t="s">
        <v>2041</v>
      </c>
      <c r="S566" s="444">
        <v>1513</v>
      </c>
      <c r="T566" s="447"/>
      <c r="V566" s="402" t="s">
        <v>1189</v>
      </c>
      <c r="W566" s="379" t="s">
        <v>614</v>
      </c>
      <c r="X566" s="435" t="s">
        <v>927</v>
      </c>
    </row>
    <row r="567" spans="18:24">
      <c r="R567" s="431" t="s">
        <v>2154</v>
      </c>
      <c r="S567" s="443">
        <v>1612</v>
      </c>
      <c r="T567" s="446"/>
      <c r="V567" s="402" t="s">
        <v>1313</v>
      </c>
      <c r="W567" s="379" t="s">
        <v>572</v>
      </c>
      <c r="X567" s="435" t="s">
        <v>257</v>
      </c>
    </row>
    <row r="568" spans="18:24">
      <c r="R568" s="431" t="s">
        <v>2095</v>
      </c>
      <c r="S568" s="443" t="s">
        <v>1641</v>
      </c>
      <c r="T568" s="447"/>
      <c r="V568" s="402" t="s">
        <v>1303</v>
      </c>
      <c r="W568" s="379" t="s">
        <v>559</v>
      </c>
      <c r="X568" s="435" t="s">
        <v>926</v>
      </c>
    </row>
    <row r="569" spans="18:24">
      <c r="R569" s="432" t="s">
        <v>2092</v>
      </c>
      <c r="S569" s="444" t="s">
        <v>1637</v>
      </c>
      <c r="T569" s="446"/>
      <c r="V569" s="402" t="s">
        <v>1191</v>
      </c>
      <c r="W569" s="379" t="s">
        <v>520</v>
      </c>
      <c r="X569" s="435" t="s">
        <v>928</v>
      </c>
    </row>
    <row r="570" spans="18:24">
      <c r="R570" s="431" t="s">
        <v>1642</v>
      </c>
      <c r="S570" s="443" t="s">
        <v>1643</v>
      </c>
      <c r="T570" s="446"/>
      <c r="V570" s="402" t="s">
        <v>1195</v>
      </c>
      <c r="W570" s="379" t="s">
        <v>658</v>
      </c>
      <c r="X570" s="435" t="s">
        <v>364</v>
      </c>
    </row>
    <row r="571" spans="18:24">
      <c r="R571" s="431" t="s">
        <v>2097</v>
      </c>
      <c r="S571" s="443" t="s">
        <v>1646</v>
      </c>
      <c r="T571" s="447"/>
      <c r="V571" s="402" t="s">
        <v>1325</v>
      </c>
      <c r="W571" s="379" t="s">
        <v>588</v>
      </c>
      <c r="X571" s="435" t="s">
        <v>1037</v>
      </c>
    </row>
    <row r="572" spans="18:24">
      <c r="R572" s="431" t="s">
        <v>1644</v>
      </c>
      <c r="S572" s="443" t="s">
        <v>1645</v>
      </c>
      <c r="T572" s="447"/>
      <c r="V572" s="402" t="s">
        <v>1349</v>
      </c>
      <c r="W572" s="379" t="s">
        <v>662</v>
      </c>
      <c r="X572" s="435" t="s">
        <v>935</v>
      </c>
    </row>
    <row r="573" spans="18:24">
      <c r="R573" s="431" t="s">
        <v>2099</v>
      </c>
      <c r="S573" s="443" t="s">
        <v>1646</v>
      </c>
      <c r="T573" s="446"/>
      <c r="V573" s="402" t="s">
        <v>1197</v>
      </c>
      <c r="W573" s="379" t="s">
        <v>616</v>
      </c>
      <c r="X573" s="435" t="s">
        <v>245</v>
      </c>
    </row>
    <row r="574" spans="18:24">
      <c r="R574" s="431" t="s">
        <v>1647</v>
      </c>
      <c r="S574" s="443" t="s">
        <v>1648</v>
      </c>
      <c r="T574" s="446"/>
      <c r="V574" s="402" t="s">
        <v>1257</v>
      </c>
      <c r="W574" s="379" t="s">
        <v>687</v>
      </c>
      <c r="X574" s="435" t="s">
        <v>1258</v>
      </c>
    </row>
    <row r="575" spans="18:24">
      <c r="R575" s="431" t="s">
        <v>1649</v>
      </c>
      <c r="S575" s="443" t="s">
        <v>1650</v>
      </c>
      <c r="T575" s="446"/>
      <c r="V575" s="402" t="s">
        <v>1199</v>
      </c>
      <c r="W575" s="379" t="s">
        <v>642</v>
      </c>
      <c r="X575" s="435" t="s">
        <v>938</v>
      </c>
    </row>
    <row r="576" spans="18:24">
      <c r="R576" s="431" t="s">
        <v>1651</v>
      </c>
      <c r="S576" s="443" t="s">
        <v>1652</v>
      </c>
      <c r="T576" s="446"/>
      <c r="V576" s="402" t="s">
        <v>1202</v>
      </c>
      <c r="W576" s="379" t="s">
        <v>638</v>
      </c>
      <c r="X576" s="435" t="s">
        <v>933</v>
      </c>
    </row>
    <row r="577" spans="18:24">
      <c r="R577" s="431" t="s">
        <v>1653</v>
      </c>
      <c r="S577" s="443" t="s">
        <v>1654</v>
      </c>
      <c r="T577" s="446"/>
      <c r="V577" s="402" t="s">
        <v>1205</v>
      </c>
      <c r="W577" s="379" t="s">
        <v>677</v>
      </c>
      <c r="X577" s="435" t="s">
        <v>934</v>
      </c>
    </row>
    <row r="578" spans="18:24">
      <c r="R578" s="431" t="s">
        <v>1655</v>
      </c>
      <c r="S578" s="443" t="s">
        <v>1656</v>
      </c>
      <c r="T578" s="446"/>
      <c r="V578" s="402" t="s">
        <v>1288</v>
      </c>
      <c r="W578" s="379" t="s">
        <v>534</v>
      </c>
      <c r="X578" s="435" t="s">
        <v>308</v>
      </c>
    </row>
    <row r="579" spans="18:24">
      <c r="R579" s="431" t="s">
        <v>1657</v>
      </c>
      <c r="S579" s="443" t="s">
        <v>1658</v>
      </c>
      <c r="T579" s="446"/>
      <c r="V579" s="402" t="s">
        <v>1365</v>
      </c>
      <c r="W579" s="379" t="s">
        <v>515</v>
      </c>
      <c r="X579" s="435" t="s">
        <v>937</v>
      </c>
    </row>
    <row r="580" spans="18:24">
      <c r="R580" s="432" t="s">
        <v>2076</v>
      </c>
      <c r="S580" s="444" t="s">
        <v>1604</v>
      </c>
      <c r="T580" s="446"/>
      <c r="V580" s="402" t="s">
        <v>1126</v>
      </c>
      <c r="W580" s="379" t="s">
        <v>656</v>
      </c>
      <c r="X580" s="435" t="s">
        <v>939</v>
      </c>
    </row>
    <row r="581" spans="18:24">
      <c r="R581" s="432" t="s">
        <v>2126</v>
      </c>
      <c r="S581" s="444" t="s">
        <v>1853</v>
      </c>
      <c r="T581" s="446"/>
      <c r="V581" s="402" t="s">
        <v>1227</v>
      </c>
      <c r="W581" s="379" t="s">
        <v>594</v>
      </c>
      <c r="X581" s="435" t="s">
        <v>940</v>
      </c>
    </row>
    <row r="582" spans="18:24">
      <c r="R582" s="432" t="s">
        <v>2051</v>
      </c>
      <c r="S582" s="444">
        <v>1677</v>
      </c>
      <c r="T582" s="446"/>
      <c r="V582" s="402" t="s">
        <v>1290</v>
      </c>
      <c r="W582" s="379" t="s">
        <v>537</v>
      </c>
      <c r="X582" s="435" t="s">
        <v>941</v>
      </c>
    </row>
    <row r="583" spans="18:24">
      <c r="R583" s="431" t="s">
        <v>2031</v>
      </c>
      <c r="S583" s="443" t="s">
        <v>1659</v>
      </c>
      <c r="T583" s="446"/>
      <c r="V583" s="402" t="s">
        <v>1065</v>
      </c>
      <c r="W583" s="379" t="s">
        <v>542</v>
      </c>
      <c r="X583" s="435" t="s">
        <v>942</v>
      </c>
    </row>
    <row r="584" spans="18:24">
      <c r="R584" s="431" t="s">
        <v>1660</v>
      </c>
      <c r="S584" s="443" t="s">
        <v>1661</v>
      </c>
      <c r="T584" s="446"/>
      <c r="V584" s="402" t="s">
        <v>1318</v>
      </c>
      <c r="W584" s="379" t="s">
        <v>579</v>
      </c>
      <c r="X584" s="435" t="s">
        <v>943</v>
      </c>
    </row>
    <row r="585" spans="18:24">
      <c r="R585" s="431" t="s">
        <v>2102</v>
      </c>
      <c r="S585" s="443" t="s">
        <v>1662</v>
      </c>
      <c r="T585" s="446"/>
      <c r="V585" s="402" t="s">
        <v>1246</v>
      </c>
      <c r="W585" s="379" t="s">
        <v>628</v>
      </c>
      <c r="X585" s="435" t="s">
        <v>1247</v>
      </c>
    </row>
    <row r="586" spans="18:24">
      <c r="R586" s="432" t="s">
        <v>2100</v>
      </c>
      <c r="S586" s="444" t="s">
        <v>1662</v>
      </c>
      <c r="T586" s="447"/>
      <c r="V586" s="402" t="s">
        <v>1262</v>
      </c>
      <c r="W586" s="379" t="s">
        <v>613</v>
      </c>
      <c r="X586" s="435" t="s">
        <v>954</v>
      </c>
    </row>
    <row r="587" spans="18:24">
      <c r="R587" s="431" t="s">
        <v>1663</v>
      </c>
      <c r="S587" s="443" t="s">
        <v>1664</v>
      </c>
      <c r="T587" s="447"/>
      <c r="V587" s="402" t="s">
        <v>1371</v>
      </c>
      <c r="W587" s="379" t="s">
        <v>698</v>
      </c>
      <c r="X587" s="435" t="s">
        <v>1043</v>
      </c>
    </row>
    <row r="588" spans="18:24">
      <c r="R588" s="431" t="s">
        <v>2104</v>
      </c>
      <c r="S588" s="443" t="s">
        <v>1665</v>
      </c>
      <c r="T588" s="446"/>
      <c r="V588" s="402" t="s">
        <v>1219</v>
      </c>
      <c r="W588" s="379" t="s">
        <v>576</v>
      </c>
      <c r="X588" s="435" t="s">
        <v>953</v>
      </c>
    </row>
    <row r="589" spans="18:24">
      <c r="R589" s="431" t="s">
        <v>1666</v>
      </c>
      <c r="S589" s="443" t="s">
        <v>1667</v>
      </c>
      <c r="T589" s="446"/>
      <c r="V589" s="402" t="s">
        <v>1348</v>
      </c>
      <c r="W589" s="379" t="s">
        <v>653</v>
      </c>
      <c r="X589" s="435" t="s">
        <v>944</v>
      </c>
    </row>
    <row r="590" spans="18:24">
      <c r="R590" s="432" t="s">
        <v>1666</v>
      </c>
      <c r="S590" s="444" t="s">
        <v>1853</v>
      </c>
      <c r="T590" s="447"/>
      <c r="V590" s="402" t="s">
        <v>1305</v>
      </c>
      <c r="W590" s="379" t="s">
        <v>562</v>
      </c>
      <c r="X590" s="435" t="s">
        <v>951</v>
      </c>
    </row>
    <row r="591" spans="18:24">
      <c r="R591" s="431" t="s">
        <v>1668</v>
      </c>
      <c r="S591" s="443" t="s">
        <v>1669</v>
      </c>
      <c r="T591" s="446"/>
      <c r="V591" s="402" t="s">
        <v>1327</v>
      </c>
      <c r="W591" s="379" t="s">
        <v>590</v>
      </c>
      <c r="X591" s="435" t="s">
        <v>945</v>
      </c>
    </row>
    <row r="592" spans="18:24">
      <c r="R592" s="432" t="s">
        <v>2103</v>
      </c>
      <c r="S592" s="444" t="s">
        <v>1665</v>
      </c>
      <c r="T592" s="446"/>
      <c r="V592" s="402" t="s">
        <v>1308</v>
      </c>
      <c r="W592" s="379" t="s">
        <v>566</v>
      </c>
      <c r="X592" s="435" t="s">
        <v>950</v>
      </c>
    </row>
    <row r="593" spans="18:24">
      <c r="R593" s="431" t="s">
        <v>1670</v>
      </c>
      <c r="S593" s="443" t="s">
        <v>1671</v>
      </c>
      <c r="T593" s="446"/>
      <c r="V593" s="402" t="s">
        <v>1215</v>
      </c>
      <c r="W593" s="379" t="s">
        <v>676</v>
      </c>
      <c r="X593" s="435" t="s">
        <v>948</v>
      </c>
    </row>
    <row r="594" spans="18:24">
      <c r="R594" s="431" t="s">
        <v>1686</v>
      </c>
      <c r="S594" s="443" t="s">
        <v>1687</v>
      </c>
      <c r="T594" s="446"/>
      <c r="V594" s="402" t="s">
        <v>1266</v>
      </c>
      <c r="W594" s="379" t="s">
        <v>546</v>
      </c>
      <c r="X594" s="435" t="s">
        <v>949</v>
      </c>
    </row>
    <row r="595" spans="18:24">
      <c r="R595" s="431" t="s">
        <v>1690</v>
      </c>
      <c r="S595" s="443" t="s">
        <v>1691</v>
      </c>
      <c r="T595" s="446"/>
      <c r="V595" s="402" t="s">
        <v>1323</v>
      </c>
      <c r="W595" s="379" t="s">
        <v>586</v>
      </c>
      <c r="X595" s="435" t="s">
        <v>250</v>
      </c>
    </row>
    <row r="596" spans="18:24">
      <c r="R596" s="431" t="s">
        <v>1688</v>
      </c>
      <c r="S596" s="443" t="s">
        <v>1689</v>
      </c>
      <c r="T596" s="446"/>
      <c r="V596" s="402" t="s">
        <v>1300</v>
      </c>
      <c r="W596" s="379" t="s">
        <v>556</v>
      </c>
      <c r="X596" s="435" t="s">
        <v>946</v>
      </c>
    </row>
    <row r="597" spans="18:24">
      <c r="R597" s="431" t="s">
        <v>1672</v>
      </c>
      <c r="S597" s="443" t="s">
        <v>1673</v>
      </c>
      <c r="T597" s="446"/>
      <c r="V597" s="402" t="s">
        <v>1267</v>
      </c>
      <c r="W597" s="379" t="s">
        <v>533</v>
      </c>
      <c r="X597" s="435"/>
    </row>
    <row r="598" spans="18:24">
      <c r="R598" s="431" t="s">
        <v>1692</v>
      </c>
      <c r="S598" s="443" t="s">
        <v>1693</v>
      </c>
      <c r="T598" s="446"/>
      <c r="V598" s="402" t="s">
        <v>1217</v>
      </c>
      <c r="W598" s="379" t="s">
        <v>665</v>
      </c>
      <c r="X598" s="435" t="s">
        <v>380</v>
      </c>
    </row>
    <row r="599" spans="18:24">
      <c r="R599" s="431" t="s">
        <v>1684</v>
      </c>
      <c r="S599" s="443" t="s">
        <v>1685</v>
      </c>
      <c r="T599" s="446"/>
      <c r="V599" s="402" t="s">
        <v>1330</v>
      </c>
      <c r="W599" s="379" t="s">
        <v>600</v>
      </c>
      <c r="X599" s="435" t="s">
        <v>1045</v>
      </c>
    </row>
    <row r="600" spans="18:24">
      <c r="R600" s="431" t="s">
        <v>1694</v>
      </c>
      <c r="S600" s="443" t="s">
        <v>1695</v>
      </c>
      <c r="T600" s="446"/>
      <c r="V600" s="402" t="s">
        <v>1284</v>
      </c>
      <c r="W600" s="379" t="s">
        <v>521</v>
      </c>
      <c r="X600" s="435" t="s">
        <v>947</v>
      </c>
    </row>
    <row r="601" spans="18:24">
      <c r="R601" s="431" t="s">
        <v>1696</v>
      </c>
      <c r="S601" s="443" t="s">
        <v>1697</v>
      </c>
      <c r="T601" s="446"/>
      <c r="V601" s="402" t="s">
        <v>525</v>
      </c>
      <c r="W601" s="379" t="s">
        <v>525</v>
      </c>
      <c r="X601" s="435" t="s">
        <v>990</v>
      </c>
    </row>
    <row r="602" spans="18:24">
      <c r="R602" s="431" t="s">
        <v>1698</v>
      </c>
      <c r="S602" s="443" t="s">
        <v>1699</v>
      </c>
      <c r="T602" s="446"/>
      <c r="V602" s="402" t="s">
        <v>1235</v>
      </c>
      <c r="W602" s="379" t="s">
        <v>1233</v>
      </c>
      <c r="X602" s="435" t="s">
        <v>952</v>
      </c>
    </row>
    <row r="603" spans="18:24">
      <c r="R603" s="431" t="s">
        <v>2105</v>
      </c>
      <c r="S603" s="443" t="s">
        <v>1700</v>
      </c>
      <c r="T603" s="446"/>
      <c r="V603" s="402" t="s">
        <v>1221</v>
      </c>
      <c r="W603" s="379" t="s">
        <v>602</v>
      </c>
      <c r="X603" s="435" t="s">
        <v>956</v>
      </c>
    </row>
    <row r="604" spans="18:24">
      <c r="R604" s="431" t="s">
        <v>1701</v>
      </c>
      <c r="S604" s="443" t="s">
        <v>1702</v>
      </c>
      <c r="T604" s="446"/>
      <c r="V604" s="402" t="s">
        <v>1344</v>
      </c>
      <c r="W604" s="379" t="s">
        <v>648</v>
      </c>
      <c r="X604" s="435" t="s">
        <v>955</v>
      </c>
    </row>
    <row r="605" spans="18:24">
      <c r="R605" s="431" t="s">
        <v>1703</v>
      </c>
      <c r="S605" s="443" t="s">
        <v>1704</v>
      </c>
      <c r="T605" s="446"/>
      <c r="V605" s="402" t="s">
        <v>1361</v>
      </c>
      <c r="W605" s="379" t="s">
        <v>683</v>
      </c>
      <c r="X605" s="435" t="s">
        <v>1034</v>
      </c>
    </row>
    <row r="606" spans="18:24">
      <c r="R606" s="431" t="s">
        <v>1705</v>
      </c>
      <c r="S606" s="443" t="s">
        <v>1706</v>
      </c>
      <c r="T606" s="446"/>
      <c r="V606" s="402" t="s">
        <v>1326</v>
      </c>
      <c r="W606" s="379" t="s">
        <v>589</v>
      </c>
      <c r="X606" s="435" t="s">
        <v>1035</v>
      </c>
    </row>
    <row r="607" spans="18:24">
      <c r="R607" s="431" t="s">
        <v>1709</v>
      </c>
      <c r="S607" s="443" t="s">
        <v>1710</v>
      </c>
      <c r="T607" s="446"/>
      <c r="V607" s="402" t="s">
        <v>1304</v>
      </c>
      <c r="W607" s="379" t="s">
        <v>560</v>
      </c>
      <c r="X607" s="435" t="s">
        <v>957</v>
      </c>
    </row>
    <row r="608" spans="18:24">
      <c r="R608" s="431" t="s">
        <v>1711</v>
      </c>
      <c r="S608" s="443" t="s">
        <v>1712</v>
      </c>
      <c r="T608" s="446"/>
      <c r="V608" s="402" t="s">
        <v>1061</v>
      </c>
      <c r="W608" s="379" t="s">
        <v>2228</v>
      </c>
      <c r="X608" s="435" t="s">
        <v>1374</v>
      </c>
    </row>
    <row r="609" spans="18:24">
      <c r="R609" s="431" t="s">
        <v>1676</v>
      </c>
      <c r="S609" s="443" t="s">
        <v>1677</v>
      </c>
      <c r="T609" s="446"/>
      <c r="V609" s="402" t="s">
        <v>1353</v>
      </c>
      <c r="W609" s="379" t="s">
        <v>669</v>
      </c>
      <c r="X609" s="435" t="s">
        <v>270</v>
      </c>
    </row>
    <row r="610" spans="18:24">
      <c r="R610" s="431" t="s">
        <v>1713</v>
      </c>
      <c r="S610" s="443" t="s">
        <v>1714</v>
      </c>
      <c r="T610" s="446"/>
      <c r="V610" s="402" t="s">
        <v>1311</v>
      </c>
      <c r="W610" s="379" t="s">
        <v>570</v>
      </c>
      <c r="X610" s="435" t="s">
        <v>958</v>
      </c>
    </row>
    <row r="611" spans="18:24">
      <c r="R611" s="431" t="s">
        <v>1674</v>
      </c>
      <c r="S611" s="443" t="s">
        <v>1675</v>
      </c>
      <c r="T611" s="446"/>
      <c r="V611" s="402" t="s">
        <v>1249</v>
      </c>
      <c r="W611" s="379" t="s">
        <v>697</v>
      </c>
      <c r="X611" s="435" t="s">
        <v>960</v>
      </c>
    </row>
    <row r="612" spans="18:24">
      <c r="R612" s="431" t="s">
        <v>1715</v>
      </c>
      <c r="S612" s="443" t="s">
        <v>1716</v>
      </c>
      <c r="T612" s="446"/>
      <c r="V612" s="402" t="s">
        <v>1297</v>
      </c>
      <c r="W612" s="379" t="s">
        <v>553</v>
      </c>
      <c r="X612" s="435" t="s">
        <v>959</v>
      </c>
    </row>
    <row r="613" spans="18:24">
      <c r="R613" s="431" t="s">
        <v>1678</v>
      </c>
      <c r="S613" s="443" t="s">
        <v>1679</v>
      </c>
      <c r="T613" s="446"/>
      <c r="V613" s="402" t="s">
        <v>1241</v>
      </c>
      <c r="W613" s="379" t="s">
        <v>621</v>
      </c>
      <c r="X613" s="435" t="s">
        <v>961</v>
      </c>
    </row>
    <row r="614" spans="18:24">
      <c r="R614" s="431" t="s">
        <v>1707</v>
      </c>
      <c r="S614" s="443" t="s">
        <v>1708</v>
      </c>
      <c r="T614" s="446"/>
      <c r="V614" s="402" t="s">
        <v>1209</v>
      </c>
      <c r="W614" s="379" t="s">
        <v>531</v>
      </c>
      <c r="X614" s="435" t="s">
        <v>1242</v>
      </c>
    </row>
    <row r="615" spans="18:24">
      <c r="R615" s="431" t="s">
        <v>1717</v>
      </c>
      <c r="S615" s="443" t="s">
        <v>1718</v>
      </c>
      <c r="T615" s="446"/>
      <c r="V615" s="402" t="s">
        <v>1207</v>
      </c>
      <c r="W615" s="379" t="s">
        <v>540</v>
      </c>
      <c r="X615" s="435" t="s">
        <v>1036</v>
      </c>
    </row>
    <row r="616" spans="18:24">
      <c r="R616" s="431" t="s">
        <v>1719</v>
      </c>
      <c r="S616" s="443" t="s">
        <v>1720</v>
      </c>
      <c r="T616" s="446"/>
      <c r="V616" s="402" t="s">
        <v>1204</v>
      </c>
      <c r="W616" s="379" t="s">
        <v>643</v>
      </c>
      <c r="X616" s="435" t="s">
        <v>1039</v>
      </c>
    </row>
    <row r="617" spans="18:24">
      <c r="R617" s="431" t="s">
        <v>1721</v>
      </c>
      <c r="S617" s="443" t="s">
        <v>1722</v>
      </c>
      <c r="T617" s="446"/>
      <c r="V617" s="402" t="s">
        <v>1255</v>
      </c>
      <c r="W617" s="379" t="s">
        <v>528</v>
      </c>
      <c r="X617" s="435" t="s">
        <v>1040</v>
      </c>
    </row>
    <row r="618" spans="18:24">
      <c r="R618" s="431" t="s">
        <v>1680</v>
      </c>
      <c r="S618" s="443" t="s">
        <v>1681</v>
      </c>
      <c r="T618" s="446"/>
      <c r="V618" s="402" t="s">
        <v>1373</v>
      </c>
      <c r="W618" s="379" t="s">
        <v>634</v>
      </c>
      <c r="X618" s="435" t="s">
        <v>1041</v>
      </c>
    </row>
    <row r="619" spans="18:24">
      <c r="R619" s="431" t="s">
        <v>1723</v>
      </c>
      <c r="S619" s="443" t="s">
        <v>1724</v>
      </c>
      <c r="T619" s="446"/>
      <c r="V619" s="402" t="s">
        <v>1354</v>
      </c>
      <c r="W619" s="379" t="s">
        <v>671</v>
      </c>
      <c r="X619" s="435" t="s">
        <v>1042</v>
      </c>
    </row>
    <row r="620" spans="18:24">
      <c r="R620" s="431" t="s">
        <v>1725</v>
      </c>
      <c r="S620" s="443" t="s">
        <v>1726</v>
      </c>
      <c r="T620" s="446"/>
      <c r="V620" s="402" t="s">
        <v>1127</v>
      </c>
      <c r="W620" s="379" t="s">
        <v>659</v>
      </c>
      <c r="X620" s="435" t="s">
        <v>1044</v>
      </c>
    </row>
    <row r="621" spans="18:24">
      <c r="R621" s="431" t="s">
        <v>1727</v>
      </c>
      <c r="S621" s="443" t="s">
        <v>1728</v>
      </c>
      <c r="T621" s="446"/>
      <c r="V621" s="402" t="s">
        <v>1127</v>
      </c>
      <c r="W621" s="379" t="s">
        <v>660</v>
      </c>
      <c r="X621" s="435" t="s">
        <v>1045</v>
      </c>
    </row>
    <row r="622" spans="18:24">
      <c r="R622" s="431" t="s">
        <v>1727</v>
      </c>
      <c r="S622" s="443" t="s">
        <v>1729</v>
      </c>
      <c r="T622" s="446"/>
      <c r="V622" s="402" t="s">
        <v>1059</v>
      </c>
      <c r="W622" s="379" t="s">
        <v>530</v>
      </c>
      <c r="X622" s="435" t="s">
        <v>1047</v>
      </c>
    </row>
    <row r="623" spans="18:24" ht="15.75" thickBot="1">
      <c r="R623" s="431" t="s">
        <v>1730</v>
      </c>
      <c r="S623" s="443" t="s">
        <v>1731</v>
      </c>
      <c r="T623" s="446"/>
      <c r="V623" s="402" t="s">
        <v>1329</v>
      </c>
      <c r="W623" s="379" t="s">
        <v>598</v>
      </c>
      <c r="X623" s="436" t="s">
        <v>335</v>
      </c>
    </row>
    <row r="624" spans="18:24">
      <c r="R624" s="431" t="s">
        <v>1732</v>
      </c>
      <c r="S624" s="443" t="s">
        <v>1733</v>
      </c>
      <c r="T624" s="446"/>
    </row>
    <row r="625" spans="18:20">
      <c r="R625" s="431" t="s">
        <v>1734</v>
      </c>
      <c r="S625" s="443" t="s">
        <v>1735</v>
      </c>
      <c r="T625" s="446"/>
    </row>
    <row r="626" spans="18:20">
      <c r="R626" s="431" t="s">
        <v>1736</v>
      </c>
      <c r="S626" s="443" t="s">
        <v>1737</v>
      </c>
      <c r="T626" s="446"/>
    </row>
    <row r="627" spans="18:20">
      <c r="R627" s="431" t="s">
        <v>1738</v>
      </c>
      <c r="S627" s="443" t="s">
        <v>1739</v>
      </c>
      <c r="T627" s="446"/>
    </row>
    <row r="628" spans="18:20">
      <c r="R628" s="431" t="s">
        <v>1740</v>
      </c>
      <c r="S628" s="443" t="s">
        <v>1741</v>
      </c>
      <c r="T628" s="446"/>
    </row>
    <row r="629" spans="18:20">
      <c r="R629" s="431" t="s">
        <v>1742</v>
      </c>
      <c r="S629" s="443" t="s">
        <v>1743</v>
      </c>
      <c r="T629" s="446"/>
    </row>
    <row r="630" spans="18:20">
      <c r="R630" s="431" t="s">
        <v>1744</v>
      </c>
      <c r="S630" s="443" t="s">
        <v>1745</v>
      </c>
      <c r="T630" s="446"/>
    </row>
    <row r="631" spans="18:20">
      <c r="R631" s="431" t="s">
        <v>1746</v>
      </c>
      <c r="S631" s="443" t="s">
        <v>1747</v>
      </c>
      <c r="T631" s="446"/>
    </row>
    <row r="632" spans="18:20">
      <c r="R632" s="431" t="s">
        <v>1682</v>
      </c>
      <c r="S632" s="443" t="s">
        <v>1683</v>
      </c>
      <c r="T632" s="446"/>
    </row>
    <row r="633" spans="18:20">
      <c r="R633" s="431" t="s">
        <v>1748</v>
      </c>
      <c r="S633" s="443" t="s">
        <v>1749</v>
      </c>
      <c r="T633" s="446"/>
    </row>
    <row r="634" spans="18:20">
      <c r="R634" s="431" t="s">
        <v>1750</v>
      </c>
      <c r="S634" s="443" t="s">
        <v>1751</v>
      </c>
      <c r="T634" s="446"/>
    </row>
    <row r="635" spans="18:20">
      <c r="R635" s="431" t="s">
        <v>1752</v>
      </c>
      <c r="S635" s="443" t="s">
        <v>1753</v>
      </c>
      <c r="T635" s="446"/>
    </row>
    <row r="636" spans="18:20">
      <c r="R636" s="431" t="s">
        <v>2032</v>
      </c>
      <c r="S636" s="443" t="s">
        <v>1754</v>
      </c>
      <c r="T636" s="446"/>
    </row>
    <row r="637" spans="18:20">
      <c r="R637" s="431" t="s">
        <v>1755</v>
      </c>
      <c r="S637" s="443" t="s">
        <v>1756</v>
      </c>
      <c r="T637" s="446"/>
    </row>
    <row r="638" spans="18:20">
      <c r="R638" s="431" t="s">
        <v>1757</v>
      </c>
      <c r="S638" s="443" t="s">
        <v>1758</v>
      </c>
      <c r="T638" s="446"/>
    </row>
    <row r="639" spans="18:20">
      <c r="R639" s="431" t="s">
        <v>1759</v>
      </c>
      <c r="S639" s="443" t="s">
        <v>1760</v>
      </c>
      <c r="T639" s="446"/>
    </row>
    <row r="640" spans="18:20">
      <c r="R640" s="431" t="s">
        <v>2033</v>
      </c>
      <c r="S640" s="443" t="s">
        <v>1761</v>
      </c>
      <c r="T640" s="446"/>
    </row>
    <row r="641" spans="18:20">
      <c r="R641" s="431" t="s">
        <v>1762</v>
      </c>
      <c r="S641" s="443" t="s">
        <v>1763</v>
      </c>
      <c r="T641" s="446"/>
    </row>
    <row r="642" spans="18:20">
      <c r="R642" s="431" t="s">
        <v>1494</v>
      </c>
      <c r="S642" s="443" t="s">
        <v>1764</v>
      </c>
      <c r="T642" s="446"/>
    </row>
    <row r="643" spans="18:20">
      <c r="R643" s="432" t="s">
        <v>2046</v>
      </c>
      <c r="S643" s="444">
        <v>1408</v>
      </c>
      <c r="T643" s="446"/>
    </row>
    <row r="644" spans="18:20">
      <c r="R644" s="431" t="s">
        <v>2108</v>
      </c>
      <c r="S644" s="443" t="s">
        <v>1766</v>
      </c>
      <c r="T644" s="447"/>
    </row>
    <row r="645" spans="18:20">
      <c r="R645" s="432" t="s">
        <v>2049</v>
      </c>
      <c r="S645" s="444" t="s">
        <v>1511</v>
      </c>
      <c r="T645" s="446"/>
    </row>
    <row r="646" spans="18:20">
      <c r="R646" s="432" t="s">
        <v>2121</v>
      </c>
      <c r="S646" s="444" t="s">
        <v>1844</v>
      </c>
      <c r="T646" s="447"/>
    </row>
    <row r="647" spans="18:20">
      <c r="R647" s="431" t="s">
        <v>2106</v>
      </c>
      <c r="S647" s="443" t="s">
        <v>1765</v>
      </c>
      <c r="T647" s="446"/>
    </row>
    <row r="648" spans="18:20">
      <c r="R648" s="431" t="s">
        <v>2124</v>
      </c>
      <c r="S648" s="443" t="s">
        <v>1849</v>
      </c>
      <c r="T648" s="447"/>
    </row>
    <row r="649" spans="18:20">
      <c r="R649" s="431" t="s">
        <v>2141</v>
      </c>
      <c r="S649" s="443">
        <v>1602</v>
      </c>
      <c r="T649" s="446"/>
    </row>
    <row r="650" spans="18:20">
      <c r="R650" s="431" t="s">
        <v>2142</v>
      </c>
      <c r="S650" s="443">
        <v>1603</v>
      </c>
      <c r="T650" s="446"/>
    </row>
    <row r="651" spans="18:20">
      <c r="R651" s="431" t="s">
        <v>2109</v>
      </c>
      <c r="S651" s="443" t="s">
        <v>1767</v>
      </c>
      <c r="T651" s="446"/>
    </row>
    <row r="652" spans="18:20">
      <c r="R652" s="431" t="s">
        <v>1768</v>
      </c>
      <c r="S652" s="443" t="s">
        <v>1769</v>
      </c>
      <c r="T652" s="447"/>
    </row>
    <row r="653" spans="18:20">
      <c r="R653" s="431" t="s">
        <v>1770</v>
      </c>
      <c r="S653" s="443" t="s">
        <v>1771</v>
      </c>
      <c r="T653" s="447"/>
    </row>
    <row r="654" spans="18:20">
      <c r="R654" s="431" t="s">
        <v>2113</v>
      </c>
      <c r="S654" s="443" t="s">
        <v>1772</v>
      </c>
      <c r="T654" s="446"/>
    </row>
    <row r="655" spans="18:20">
      <c r="R655" s="431" t="s">
        <v>1773</v>
      </c>
      <c r="S655" s="443" t="s">
        <v>1774</v>
      </c>
      <c r="T655" s="446"/>
    </row>
    <row r="656" spans="18:20">
      <c r="R656" s="431" t="s">
        <v>1775</v>
      </c>
      <c r="S656" s="443" t="s">
        <v>1776</v>
      </c>
      <c r="T656" s="446"/>
    </row>
    <row r="657" spans="18:20">
      <c r="R657" s="431" t="s">
        <v>1777</v>
      </c>
      <c r="S657" s="443" t="s">
        <v>1778</v>
      </c>
      <c r="T657" s="446"/>
    </row>
    <row r="658" spans="18:20">
      <c r="R658" s="431" t="s">
        <v>1785</v>
      </c>
      <c r="S658" s="443" t="s">
        <v>1786</v>
      </c>
      <c r="T658" s="446"/>
    </row>
    <row r="659" spans="18:20">
      <c r="R659" s="431" t="s">
        <v>1779</v>
      </c>
      <c r="S659" s="443" t="s">
        <v>1780</v>
      </c>
      <c r="T659" s="446"/>
    </row>
    <row r="660" spans="18:20">
      <c r="R660" s="431" t="s">
        <v>1781</v>
      </c>
      <c r="S660" s="443" t="s">
        <v>1782</v>
      </c>
      <c r="T660" s="446"/>
    </row>
    <row r="661" spans="18:20">
      <c r="R661" s="431" t="s">
        <v>1783</v>
      </c>
      <c r="S661" s="443" t="s">
        <v>1784</v>
      </c>
      <c r="T661" s="446"/>
    </row>
    <row r="662" spans="18:20">
      <c r="R662" s="431" t="s">
        <v>1787</v>
      </c>
      <c r="S662" s="443" t="s">
        <v>1788</v>
      </c>
      <c r="T662" s="446"/>
    </row>
    <row r="663" spans="18:20">
      <c r="R663" s="432" t="s">
        <v>2090</v>
      </c>
      <c r="S663" s="444" t="s">
        <v>1636</v>
      </c>
      <c r="T663" s="446"/>
    </row>
    <row r="664" spans="18:20">
      <c r="R664" s="431" t="s">
        <v>1789</v>
      </c>
      <c r="S664" s="443" t="s">
        <v>1790</v>
      </c>
      <c r="T664" s="446"/>
    </row>
    <row r="665" spans="18:20">
      <c r="R665" s="432" t="s">
        <v>2112</v>
      </c>
      <c r="S665" s="444" t="s">
        <v>1772</v>
      </c>
      <c r="T665" s="447"/>
    </row>
    <row r="666" spans="18:20">
      <c r="R666" s="431" t="s">
        <v>1791</v>
      </c>
      <c r="S666" s="443" t="s">
        <v>1792</v>
      </c>
      <c r="T666" s="447"/>
    </row>
    <row r="667" spans="18:20">
      <c r="R667" s="432" t="s">
        <v>2125</v>
      </c>
      <c r="S667" s="444" t="s">
        <v>1852</v>
      </c>
      <c r="T667" s="446"/>
    </row>
    <row r="668" spans="18:20">
      <c r="R668" s="431" t="s">
        <v>2116</v>
      </c>
      <c r="S668" s="443" t="s">
        <v>1793</v>
      </c>
      <c r="T668" s="446"/>
    </row>
    <row r="669" spans="18:20">
      <c r="R669" s="431" t="s">
        <v>1794</v>
      </c>
      <c r="S669" s="443" t="s">
        <v>1795</v>
      </c>
      <c r="T669" s="446"/>
    </row>
    <row r="670" spans="18:20">
      <c r="R670" s="431" t="s">
        <v>1796</v>
      </c>
      <c r="S670" s="443" t="s">
        <v>1797</v>
      </c>
      <c r="T670" s="446"/>
    </row>
    <row r="671" spans="18:20">
      <c r="R671" s="431" t="s">
        <v>1798</v>
      </c>
      <c r="S671" s="443" t="s">
        <v>1799</v>
      </c>
      <c r="T671" s="446"/>
    </row>
    <row r="672" spans="18:20">
      <c r="R672" s="431" t="s">
        <v>1800</v>
      </c>
      <c r="S672" s="443" t="s">
        <v>1801</v>
      </c>
      <c r="T672" s="446"/>
    </row>
    <row r="673" spans="18:20">
      <c r="R673" s="431" t="s">
        <v>1802</v>
      </c>
      <c r="S673" s="443" t="s">
        <v>1803</v>
      </c>
      <c r="T673" s="447"/>
    </row>
    <row r="674" spans="18:20">
      <c r="R674" s="431" t="s">
        <v>2118</v>
      </c>
      <c r="S674" s="443" t="s">
        <v>1804</v>
      </c>
      <c r="T674" s="446"/>
    </row>
    <row r="675" spans="18:20">
      <c r="R675" s="432" t="s">
        <v>2117</v>
      </c>
      <c r="S675" s="444" t="s">
        <v>1804</v>
      </c>
      <c r="T675" s="447"/>
    </row>
    <row r="676" spans="18:20">
      <c r="R676" s="432" t="s">
        <v>2270</v>
      </c>
      <c r="S676" s="444">
        <v>1669</v>
      </c>
      <c r="T676" s="446"/>
    </row>
    <row r="677" spans="18:20">
      <c r="R677" s="431" t="s">
        <v>2119</v>
      </c>
      <c r="S677" s="443" t="s">
        <v>1805</v>
      </c>
      <c r="T677" s="446"/>
    </row>
    <row r="678" spans="18:20">
      <c r="R678" s="431" t="s">
        <v>2188</v>
      </c>
      <c r="S678" s="443" t="s">
        <v>1843</v>
      </c>
      <c r="T678" s="446"/>
    </row>
    <row r="679" spans="18:20">
      <c r="R679" s="431" t="s">
        <v>1806</v>
      </c>
      <c r="S679" s="443" t="s">
        <v>1807</v>
      </c>
      <c r="T679" s="446"/>
    </row>
    <row r="680" spans="18:20">
      <c r="R680" s="431" t="s">
        <v>1808</v>
      </c>
      <c r="S680" s="443" t="s">
        <v>1809</v>
      </c>
      <c r="T680" s="446"/>
    </row>
    <row r="681" spans="18:20">
      <c r="R681" s="431" t="s">
        <v>1810</v>
      </c>
      <c r="S681" s="443" t="s">
        <v>1811</v>
      </c>
      <c r="T681" s="446"/>
    </row>
    <row r="682" spans="18:20">
      <c r="R682" s="431" t="s">
        <v>2246</v>
      </c>
      <c r="S682" s="443">
        <v>1524</v>
      </c>
      <c r="T682" s="446"/>
    </row>
    <row r="683" spans="18:20">
      <c r="R683" s="431" t="s">
        <v>1814</v>
      </c>
      <c r="S683" s="443" t="s">
        <v>1815</v>
      </c>
      <c r="T683" s="446"/>
    </row>
    <row r="684" spans="18:20">
      <c r="R684" s="431" t="s">
        <v>1816</v>
      </c>
      <c r="S684" s="443" t="s">
        <v>1817</v>
      </c>
      <c r="T684" s="446"/>
    </row>
    <row r="685" spans="18:20">
      <c r="R685" s="431" t="s">
        <v>1818</v>
      </c>
      <c r="S685" s="443" t="s">
        <v>1819</v>
      </c>
      <c r="T685" s="446"/>
    </row>
    <row r="686" spans="18:20">
      <c r="R686" s="431" t="s">
        <v>2034</v>
      </c>
      <c r="S686" s="443" t="s">
        <v>1834</v>
      </c>
      <c r="T686" s="446"/>
    </row>
    <row r="687" spans="18:20">
      <c r="R687" s="431" t="s">
        <v>1820</v>
      </c>
      <c r="S687" s="443" t="s">
        <v>1821</v>
      </c>
      <c r="T687" s="446"/>
    </row>
    <row r="688" spans="18:20">
      <c r="R688" s="431" t="s">
        <v>1822</v>
      </c>
      <c r="S688" s="443" t="s">
        <v>1823</v>
      </c>
      <c r="T688" s="446"/>
    </row>
    <row r="689" spans="18:20">
      <c r="R689" s="431" t="s">
        <v>1824</v>
      </c>
      <c r="S689" s="443" t="s">
        <v>1825</v>
      </c>
      <c r="T689" s="446"/>
    </row>
    <row r="690" spans="18:20">
      <c r="R690" s="431" t="s">
        <v>1826</v>
      </c>
      <c r="S690" s="443" t="s">
        <v>1827</v>
      </c>
      <c r="T690" s="446"/>
    </row>
    <row r="691" spans="18:20">
      <c r="R691" s="431" t="s">
        <v>1828</v>
      </c>
      <c r="S691" s="443" t="s">
        <v>1829</v>
      </c>
      <c r="T691" s="446"/>
    </row>
    <row r="692" spans="18:20">
      <c r="R692" s="431" t="s">
        <v>1830</v>
      </c>
      <c r="S692" s="443" t="s">
        <v>1831</v>
      </c>
      <c r="T692" s="446"/>
    </row>
    <row r="693" spans="18:20">
      <c r="R693" s="431" t="s">
        <v>1832</v>
      </c>
      <c r="S693" s="443" t="s">
        <v>1833</v>
      </c>
      <c r="T693" s="446"/>
    </row>
    <row r="694" spans="18:20">
      <c r="R694" s="431" t="s">
        <v>1835</v>
      </c>
      <c r="S694" s="443" t="s">
        <v>1836</v>
      </c>
      <c r="T694" s="446"/>
    </row>
    <row r="695" spans="18:20">
      <c r="R695" s="431" t="s">
        <v>1837</v>
      </c>
      <c r="S695" s="443" t="s">
        <v>1838</v>
      </c>
      <c r="T695" s="446"/>
    </row>
    <row r="696" spans="18:20">
      <c r="R696" s="431" t="s">
        <v>1839</v>
      </c>
      <c r="S696" s="443" t="s">
        <v>1840</v>
      </c>
      <c r="T696" s="446"/>
    </row>
    <row r="697" spans="18:20">
      <c r="R697" s="431" t="s">
        <v>2123</v>
      </c>
      <c r="S697" s="443" t="s">
        <v>1849</v>
      </c>
      <c r="T697" s="447"/>
    </row>
    <row r="698" spans="18:20">
      <c r="R698" s="432" t="s">
        <v>2060</v>
      </c>
      <c r="S698" s="444" t="s">
        <v>1560</v>
      </c>
      <c r="T698" s="446"/>
    </row>
    <row r="699" spans="18:20">
      <c r="R699" s="431" t="s">
        <v>1841</v>
      </c>
      <c r="S699" s="443" t="s">
        <v>1842</v>
      </c>
      <c r="T699" s="446"/>
    </row>
    <row r="700" spans="18:20">
      <c r="R700" s="431" t="s">
        <v>1495</v>
      </c>
      <c r="S700" s="443" t="s">
        <v>1843</v>
      </c>
      <c r="T700" s="446"/>
    </row>
    <row r="701" spans="18:20">
      <c r="R701" s="431" t="s">
        <v>2122</v>
      </c>
      <c r="S701" s="443" t="s">
        <v>1844</v>
      </c>
      <c r="T701" s="447"/>
    </row>
    <row r="702" spans="18:20">
      <c r="R702" s="432" t="s">
        <v>1845</v>
      </c>
      <c r="S702" s="444" t="s">
        <v>1846</v>
      </c>
      <c r="T702" s="447"/>
    </row>
    <row r="703" spans="18:20">
      <c r="R703" s="431" t="s">
        <v>1496</v>
      </c>
      <c r="S703" s="443">
        <v>1628</v>
      </c>
      <c r="T703" s="446"/>
    </row>
    <row r="704" spans="18:20">
      <c r="R704" s="431" t="s">
        <v>1847</v>
      </c>
      <c r="S704" s="443" t="s">
        <v>1848</v>
      </c>
      <c r="T704" s="446"/>
    </row>
    <row r="705" spans="18:20">
      <c r="R705" s="432" t="s">
        <v>2120</v>
      </c>
      <c r="S705" s="444" t="s">
        <v>1805</v>
      </c>
      <c r="T705" s="447"/>
    </row>
    <row r="706" spans="18:20">
      <c r="R706" s="431" t="s">
        <v>2140</v>
      </c>
      <c r="S706" s="443" t="s">
        <v>1849</v>
      </c>
      <c r="T706" s="446"/>
    </row>
    <row r="707" spans="18:20">
      <c r="R707" s="431" t="s">
        <v>1850</v>
      </c>
      <c r="S707" s="443" t="s">
        <v>1851</v>
      </c>
      <c r="T707" s="447"/>
    </row>
    <row r="708" spans="18:20">
      <c r="R708" s="432" t="s">
        <v>2088</v>
      </c>
      <c r="S708" s="444" t="s">
        <v>1633</v>
      </c>
      <c r="T708" s="447"/>
    </row>
    <row r="709" spans="18:20">
      <c r="R709" s="431" t="s">
        <v>2139</v>
      </c>
      <c r="S709" s="443" t="s">
        <v>1852</v>
      </c>
      <c r="T709" s="447"/>
    </row>
    <row r="710" spans="18:20">
      <c r="R710" s="431" t="s">
        <v>2245</v>
      </c>
      <c r="S710" s="443" t="s">
        <v>1853</v>
      </c>
      <c r="T710" s="447"/>
    </row>
    <row r="711" spans="18:20">
      <c r="R711" s="431" t="s">
        <v>1854</v>
      </c>
      <c r="S711" s="443" t="s">
        <v>1855</v>
      </c>
      <c r="T711" s="446"/>
    </row>
    <row r="712" spans="18:20">
      <c r="R712" s="431" t="s">
        <v>1856</v>
      </c>
      <c r="S712" s="443" t="s">
        <v>1857</v>
      </c>
      <c r="T712" s="446"/>
    </row>
    <row r="713" spans="18:20">
      <c r="R713" s="431" t="s">
        <v>1858</v>
      </c>
      <c r="S713" s="443" t="s">
        <v>1859</v>
      </c>
      <c r="T713" s="446"/>
    </row>
    <row r="714" spans="18:20">
      <c r="R714" s="431" t="s">
        <v>1860</v>
      </c>
      <c r="S714" s="443" t="s">
        <v>1861</v>
      </c>
      <c r="T714" s="446"/>
    </row>
    <row r="715" spans="18:20">
      <c r="R715" s="431" t="s">
        <v>1862</v>
      </c>
      <c r="S715" s="443" t="s">
        <v>1863</v>
      </c>
      <c r="T715" s="446"/>
    </row>
    <row r="716" spans="18:20">
      <c r="R716" s="431" t="s">
        <v>1812</v>
      </c>
      <c r="S716" s="443" t="s">
        <v>1813</v>
      </c>
      <c r="T716" s="446"/>
    </row>
    <row r="717" spans="18:20">
      <c r="R717" s="431" t="s">
        <v>1864</v>
      </c>
      <c r="S717" s="443" t="s">
        <v>1865</v>
      </c>
      <c r="T717" s="446"/>
    </row>
    <row r="718" spans="18:20">
      <c r="R718" s="431" t="s">
        <v>1866</v>
      </c>
      <c r="S718" s="443" t="s">
        <v>1867</v>
      </c>
      <c r="T718" s="446"/>
    </row>
    <row r="719" spans="18:20">
      <c r="R719" s="431" t="s">
        <v>1868</v>
      </c>
      <c r="S719" s="443" t="s">
        <v>1869</v>
      </c>
      <c r="T719" s="446"/>
    </row>
    <row r="720" spans="18:20">
      <c r="R720" s="431" t="s">
        <v>1870</v>
      </c>
      <c r="S720" s="443" t="s">
        <v>1871</v>
      </c>
      <c r="T720" s="446"/>
    </row>
    <row r="721" spans="18:20">
      <c r="R721" s="431" t="s">
        <v>1872</v>
      </c>
      <c r="S721" s="443" t="s">
        <v>1873</v>
      </c>
      <c r="T721" s="446"/>
    </row>
    <row r="722" spans="18:20">
      <c r="R722" s="431" t="s">
        <v>1874</v>
      </c>
      <c r="S722" s="443" t="s">
        <v>1875</v>
      </c>
      <c r="T722" s="446"/>
    </row>
    <row r="723" spans="18:20">
      <c r="R723" s="431" t="s">
        <v>1876</v>
      </c>
      <c r="S723" s="443" t="s">
        <v>1877</v>
      </c>
      <c r="T723" s="446"/>
    </row>
    <row r="724" spans="18:20">
      <c r="R724" s="431" t="s">
        <v>2129</v>
      </c>
      <c r="S724" s="443" t="s">
        <v>1878</v>
      </c>
      <c r="T724" s="446"/>
    </row>
    <row r="725" spans="18:20">
      <c r="R725" s="432" t="s">
        <v>2061</v>
      </c>
      <c r="S725" s="444" t="s">
        <v>1560</v>
      </c>
      <c r="T725" s="446"/>
    </row>
    <row r="726" spans="18:20">
      <c r="R726" s="431" t="s">
        <v>1879</v>
      </c>
      <c r="S726" s="443" t="s">
        <v>1880</v>
      </c>
      <c r="T726" s="446"/>
    </row>
    <row r="727" spans="18:20">
      <c r="R727" s="431" t="s">
        <v>2130</v>
      </c>
      <c r="S727" s="443" t="s">
        <v>1881</v>
      </c>
      <c r="T727" s="446"/>
    </row>
    <row r="728" spans="18:20">
      <c r="R728" s="431" t="s">
        <v>1882</v>
      </c>
      <c r="S728" s="443" t="s">
        <v>1883</v>
      </c>
      <c r="T728" s="446"/>
    </row>
    <row r="729" spans="18:20">
      <c r="R729" s="432" t="s">
        <v>1884</v>
      </c>
      <c r="S729" s="444" t="s">
        <v>1765</v>
      </c>
      <c r="T729" s="446"/>
    </row>
    <row r="730" spans="18:20">
      <c r="R730" s="431" t="s">
        <v>1884</v>
      </c>
      <c r="S730" s="443" t="s">
        <v>1885</v>
      </c>
      <c r="T730" s="446"/>
    </row>
    <row r="731" spans="18:20">
      <c r="R731" s="431" t="s">
        <v>1886</v>
      </c>
      <c r="S731" s="443" t="s">
        <v>1887</v>
      </c>
      <c r="T731" s="446"/>
    </row>
    <row r="732" spans="18:20">
      <c r="R732" s="431" t="s">
        <v>1888</v>
      </c>
      <c r="S732" s="443" t="s">
        <v>1889</v>
      </c>
      <c r="T732" s="446"/>
    </row>
    <row r="733" spans="18:20">
      <c r="R733" s="432" t="s">
        <v>2132</v>
      </c>
      <c r="S733" s="444" t="s">
        <v>1938</v>
      </c>
      <c r="T733" s="446"/>
    </row>
    <row r="734" spans="18:20">
      <c r="R734" s="431" t="s">
        <v>1890</v>
      </c>
      <c r="S734" s="443" t="s">
        <v>1891</v>
      </c>
      <c r="T734" s="446"/>
    </row>
    <row r="735" spans="18:20">
      <c r="R735" s="431" t="s">
        <v>1892</v>
      </c>
      <c r="S735" s="443" t="s">
        <v>1893</v>
      </c>
      <c r="T735" s="446"/>
    </row>
    <row r="736" spans="18:20">
      <c r="R736" s="431" t="s">
        <v>1894</v>
      </c>
      <c r="S736" s="443" t="s">
        <v>1895</v>
      </c>
      <c r="T736" s="446"/>
    </row>
    <row r="737" spans="18:20">
      <c r="R737" s="431" t="s">
        <v>1896</v>
      </c>
      <c r="S737" s="443" t="s">
        <v>1897</v>
      </c>
      <c r="T737" s="446"/>
    </row>
    <row r="738" spans="18:20">
      <c r="R738" s="431" t="s">
        <v>1898</v>
      </c>
      <c r="S738" s="443" t="s">
        <v>1899</v>
      </c>
      <c r="T738" s="446"/>
    </row>
    <row r="739" spans="18:20">
      <c r="R739" s="431" t="s">
        <v>1900</v>
      </c>
      <c r="S739" s="443" t="s">
        <v>1901</v>
      </c>
      <c r="T739" s="446"/>
    </row>
    <row r="740" spans="18:20">
      <c r="R740" s="431" t="s">
        <v>1902</v>
      </c>
      <c r="S740" s="443" t="s">
        <v>1903</v>
      </c>
      <c r="T740" s="446"/>
    </row>
    <row r="741" spans="18:20">
      <c r="R741" s="431" t="s">
        <v>1904</v>
      </c>
      <c r="S741" s="443" t="s">
        <v>1905</v>
      </c>
      <c r="T741" s="446"/>
    </row>
    <row r="742" spans="18:20">
      <c r="R742" s="432" t="s">
        <v>2110</v>
      </c>
      <c r="S742" s="444" t="s">
        <v>1767</v>
      </c>
      <c r="T742" s="446"/>
    </row>
    <row r="743" spans="18:20">
      <c r="R743" s="431" t="s">
        <v>1906</v>
      </c>
      <c r="S743" s="443" t="s">
        <v>1907</v>
      </c>
      <c r="T743" s="446"/>
    </row>
    <row r="744" spans="18:20">
      <c r="R744" s="431" t="s">
        <v>1908</v>
      </c>
      <c r="S744" s="443" t="s">
        <v>1909</v>
      </c>
      <c r="T744" s="446"/>
    </row>
    <row r="745" spans="18:20">
      <c r="R745" s="432" t="s">
        <v>2043</v>
      </c>
      <c r="S745" s="444">
        <v>1513</v>
      </c>
      <c r="T745" s="446"/>
    </row>
    <row r="746" spans="18:20">
      <c r="R746" s="432" t="s">
        <v>2058</v>
      </c>
      <c r="S746" s="444" t="s">
        <v>1547</v>
      </c>
      <c r="T746" s="446"/>
    </row>
    <row r="747" spans="18:20">
      <c r="R747" s="431" t="s">
        <v>1919</v>
      </c>
      <c r="S747" s="443" t="s">
        <v>1920</v>
      </c>
      <c r="T747" s="446"/>
    </row>
    <row r="748" spans="18:20">
      <c r="R748" s="431" t="s">
        <v>1921</v>
      </c>
      <c r="S748" s="443" t="s">
        <v>1922</v>
      </c>
      <c r="T748" s="446"/>
    </row>
    <row r="749" spans="18:20">
      <c r="R749" s="431" t="s">
        <v>1910</v>
      </c>
      <c r="S749" s="443" t="s">
        <v>1911</v>
      </c>
      <c r="T749" s="446"/>
    </row>
    <row r="750" spans="18:20">
      <c r="R750" s="431" t="s">
        <v>1950</v>
      </c>
      <c r="S750" s="443" t="s">
        <v>1951</v>
      </c>
      <c r="T750" s="446"/>
    </row>
    <row r="751" spans="18:20">
      <c r="R751" s="431" t="s">
        <v>1925</v>
      </c>
      <c r="S751" s="443" t="s">
        <v>1926</v>
      </c>
      <c r="T751" s="446"/>
    </row>
    <row r="752" spans="18:20">
      <c r="R752" s="431" t="s">
        <v>1923</v>
      </c>
      <c r="S752" s="443" t="s">
        <v>1924</v>
      </c>
      <c r="T752" s="446"/>
    </row>
    <row r="753" spans="18:20">
      <c r="R753" s="431" t="s">
        <v>1927</v>
      </c>
      <c r="S753" s="443" t="s">
        <v>1928</v>
      </c>
      <c r="T753" s="446"/>
    </row>
    <row r="754" spans="18:20">
      <c r="R754" s="431" t="s">
        <v>1912</v>
      </c>
      <c r="S754" s="443" t="s">
        <v>1913</v>
      </c>
      <c r="T754" s="446"/>
    </row>
    <row r="755" spans="18:20">
      <c r="R755" s="431" t="s">
        <v>1929</v>
      </c>
      <c r="S755" s="443" t="s">
        <v>1930</v>
      </c>
      <c r="T755" s="447"/>
    </row>
    <row r="756" spans="18:20">
      <c r="R756" s="431" t="s">
        <v>1931</v>
      </c>
      <c r="S756" s="443" t="s">
        <v>1932</v>
      </c>
      <c r="T756" s="446"/>
    </row>
    <row r="757" spans="18:20">
      <c r="R757" s="431" t="s">
        <v>1952</v>
      </c>
      <c r="S757" s="443" t="s">
        <v>1953</v>
      </c>
      <c r="T757" s="446"/>
    </row>
    <row r="758" spans="18:20">
      <c r="R758" s="431" t="s">
        <v>1954</v>
      </c>
      <c r="S758" s="443" t="s">
        <v>1955</v>
      </c>
      <c r="T758" s="446"/>
    </row>
    <row r="759" spans="18:20">
      <c r="R759" s="431" t="s">
        <v>1956</v>
      </c>
      <c r="S759" s="443" t="s">
        <v>1957</v>
      </c>
      <c r="T759" s="446"/>
    </row>
    <row r="760" spans="18:20">
      <c r="R760" s="431" t="s">
        <v>1916</v>
      </c>
      <c r="S760" s="443" t="s">
        <v>1917</v>
      </c>
      <c r="T760" s="446"/>
    </row>
    <row r="761" spans="18:20">
      <c r="R761" s="431" t="s">
        <v>1933</v>
      </c>
      <c r="S761" s="443" t="s">
        <v>1934</v>
      </c>
      <c r="T761" s="446"/>
    </row>
    <row r="762" spans="18:20">
      <c r="R762" s="431" t="s">
        <v>1958</v>
      </c>
      <c r="S762" s="443" t="s">
        <v>1959</v>
      </c>
      <c r="T762" s="446"/>
    </row>
    <row r="763" spans="18:20">
      <c r="R763" s="431" t="s">
        <v>1960</v>
      </c>
      <c r="S763" s="443" t="s">
        <v>1961</v>
      </c>
      <c r="T763" s="446"/>
    </row>
    <row r="764" spans="18:20">
      <c r="R764" s="431" t="s">
        <v>1935</v>
      </c>
      <c r="S764" s="443" t="s">
        <v>1936</v>
      </c>
      <c r="T764" s="446"/>
    </row>
    <row r="765" spans="18:20">
      <c r="R765" s="431" t="s">
        <v>1937</v>
      </c>
      <c r="S765" s="443" t="s">
        <v>1938</v>
      </c>
      <c r="T765" s="446"/>
    </row>
    <row r="766" spans="18:20">
      <c r="R766" s="431" t="s">
        <v>2133</v>
      </c>
      <c r="S766" s="443" t="s">
        <v>1939</v>
      </c>
      <c r="T766" s="446"/>
    </row>
    <row r="767" spans="18:20">
      <c r="R767" s="431" t="s">
        <v>1940</v>
      </c>
      <c r="S767" s="443" t="s">
        <v>1941</v>
      </c>
      <c r="T767" s="446"/>
    </row>
    <row r="768" spans="18:20">
      <c r="R768" s="431" t="s">
        <v>1942</v>
      </c>
      <c r="S768" s="443" t="s">
        <v>1943</v>
      </c>
      <c r="T768" s="446"/>
    </row>
    <row r="769" spans="18:20">
      <c r="R769" s="431" t="s">
        <v>1962</v>
      </c>
      <c r="S769" s="443" t="s">
        <v>1963</v>
      </c>
      <c r="T769" s="446"/>
    </row>
    <row r="770" spans="18:20">
      <c r="R770" s="431" t="s">
        <v>1944</v>
      </c>
      <c r="S770" s="443" t="s">
        <v>1945</v>
      </c>
      <c r="T770" s="446"/>
    </row>
    <row r="771" spans="18:20">
      <c r="R771" s="431" t="s">
        <v>1946</v>
      </c>
      <c r="S771" s="443" t="s">
        <v>1947</v>
      </c>
      <c r="T771" s="446"/>
    </row>
    <row r="772" spans="18:20">
      <c r="R772" s="431" t="s">
        <v>1948</v>
      </c>
      <c r="S772" s="443" t="s">
        <v>1949</v>
      </c>
      <c r="T772" s="446"/>
    </row>
    <row r="773" spans="18:20">
      <c r="R773" s="431" t="s">
        <v>1914</v>
      </c>
      <c r="S773" s="443" t="s">
        <v>1915</v>
      </c>
      <c r="T773" s="446"/>
    </row>
    <row r="774" spans="18:20">
      <c r="R774" s="431" t="s">
        <v>2131</v>
      </c>
      <c r="S774" s="443" t="s">
        <v>1918</v>
      </c>
      <c r="T774" s="446"/>
    </row>
    <row r="775" spans="18:20">
      <c r="R775" s="431" t="s">
        <v>1964</v>
      </c>
      <c r="S775" s="443" t="s">
        <v>1965</v>
      </c>
      <c r="T775" s="447"/>
    </row>
    <row r="776" spans="18:20">
      <c r="R776" s="431" t="s">
        <v>1966</v>
      </c>
      <c r="S776" s="443" t="s">
        <v>1967</v>
      </c>
      <c r="T776" s="447"/>
    </row>
    <row r="777" spans="18:20">
      <c r="R777" s="431" t="s">
        <v>2035</v>
      </c>
      <c r="S777" s="443" t="s">
        <v>1968</v>
      </c>
      <c r="T777" s="446"/>
    </row>
    <row r="778" spans="18:20">
      <c r="R778" s="431" t="s">
        <v>1969</v>
      </c>
      <c r="S778" s="443" t="s">
        <v>1970</v>
      </c>
      <c r="T778" s="446"/>
    </row>
    <row r="779" spans="18:20">
      <c r="R779" s="431" t="s">
        <v>1971</v>
      </c>
      <c r="S779" s="443" t="s">
        <v>1972</v>
      </c>
      <c r="T779" s="446"/>
    </row>
    <row r="780" spans="18:20">
      <c r="R780" s="431" t="s">
        <v>2247</v>
      </c>
      <c r="S780" s="443">
        <v>1665</v>
      </c>
      <c r="T780" s="446"/>
    </row>
    <row r="781" spans="18:20">
      <c r="R781" s="432" t="s">
        <v>2134</v>
      </c>
      <c r="S781" s="444" t="s">
        <v>1973</v>
      </c>
      <c r="T781" s="446"/>
    </row>
    <row r="782" spans="18:20">
      <c r="R782" s="431" t="s">
        <v>1974</v>
      </c>
      <c r="S782" s="443" t="s">
        <v>1975</v>
      </c>
      <c r="T782" s="446"/>
    </row>
    <row r="783" spans="18:20">
      <c r="R783" s="431" t="s">
        <v>1976</v>
      </c>
      <c r="S783" s="443" t="s">
        <v>1977</v>
      </c>
      <c r="T783" s="446"/>
    </row>
    <row r="784" spans="18:20">
      <c r="R784" s="431" t="s">
        <v>2135</v>
      </c>
      <c r="S784" s="443" t="s">
        <v>1973</v>
      </c>
      <c r="T784" s="446"/>
    </row>
    <row r="785" spans="18:20">
      <c r="R785" s="431" t="s">
        <v>1978</v>
      </c>
      <c r="S785" s="443" t="s">
        <v>1979</v>
      </c>
      <c r="T785" s="446"/>
    </row>
    <row r="786" spans="18:20">
      <c r="R786" s="431" t="s">
        <v>1980</v>
      </c>
      <c r="S786" s="443" t="s">
        <v>1981</v>
      </c>
      <c r="T786" s="446"/>
    </row>
    <row r="787" spans="18:20">
      <c r="R787" s="431" t="s">
        <v>1982</v>
      </c>
      <c r="S787" s="443" t="s">
        <v>1983</v>
      </c>
      <c r="T787" s="446"/>
    </row>
    <row r="788" spans="18:20">
      <c r="R788" s="431" t="s">
        <v>1984</v>
      </c>
      <c r="S788" s="443" t="s">
        <v>1985</v>
      </c>
      <c r="T788" s="446"/>
    </row>
    <row r="789" spans="18:20">
      <c r="R789" s="431" t="s">
        <v>1986</v>
      </c>
      <c r="S789" s="443" t="s">
        <v>1987</v>
      </c>
      <c r="T789" s="446"/>
    </row>
    <row r="790" spans="18:20">
      <c r="R790" s="431" t="s">
        <v>1988</v>
      </c>
      <c r="S790" s="443" t="s">
        <v>1989</v>
      </c>
      <c r="T790" s="446"/>
    </row>
    <row r="791" spans="18:20">
      <c r="R791" s="431" t="s">
        <v>1990</v>
      </c>
      <c r="S791" s="443" t="s">
        <v>1991</v>
      </c>
      <c r="T791" s="446"/>
    </row>
    <row r="792" spans="18:20">
      <c r="R792" s="431" t="s">
        <v>1992</v>
      </c>
      <c r="S792" s="443" t="s">
        <v>1993</v>
      </c>
      <c r="T792" s="446"/>
    </row>
    <row r="793" spans="18:20">
      <c r="R793" s="431" t="s">
        <v>1994</v>
      </c>
      <c r="S793" s="443" t="s">
        <v>1995</v>
      </c>
      <c r="T793" s="446"/>
    </row>
    <row r="794" spans="18:20">
      <c r="R794" s="432" t="s">
        <v>2101</v>
      </c>
      <c r="S794" s="444" t="s">
        <v>1662</v>
      </c>
      <c r="T794" s="446"/>
    </row>
    <row r="795" spans="18:20">
      <c r="R795" s="431" t="s">
        <v>1996</v>
      </c>
      <c r="S795" s="443" t="s">
        <v>1997</v>
      </c>
      <c r="T795" s="446"/>
    </row>
    <row r="796" spans="18:20">
      <c r="R796" s="431" t="s">
        <v>1998</v>
      </c>
      <c r="S796" s="443" t="s">
        <v>1999</v>
      </c>
      <c r="T796" s="446"/>
    </row>
    <row r="797" spans="18:20">
      <c r="R797" s="431" t="s">
        <v>2000</v>
      </c>
      <c r="S797" s="443" t="s">
        <v>2001</v>
      </c>
      <c r="T797" s="446"/>
    </row>
    <row r="798" spans="18:20">
      <c r="R798" s="432" t="s">
        <v>2027</v>
      </c>
      <c r="S798" s="443" t="s">
        <v>1513</v>
      </c>
      <c r="T798" s="446"/>
    </row>
    <row r="799" spans="18:20">
      <c r="R799" s="431" t="s">
        <v>2002</v>
      </c>
      <c r="S799" s="443" t="s">
        <v>2003</v>
      </c>
      <c r="T799" s="447"/>
    </row>
    <row r="800" spans="18:20">
      <c r="R800" s="431" t="s">
        <v>2004</v>
      </c>
      <c r="S800" s="443" t="s">
        <v>2005</v>
      </c>
      <c r="T800" s="446"/>
    </row>
    <row r="801" spans="18:20">
      <c r="R801" s="432" t="s">
        <v>2042</v>
      </c>
      <c r="S801" s="444">
        <v>1513</v>
      </c>
      <c r="T801" s="446"/>
    </row>
    <row r="802" spans="18:20">
      <c r="R802" s="432" t="s">
        <v>2040</v>
      </c>
      <c r="S802" s="444">
        <v>1513</v>
      </c>
      <c r="T802" s="446"/>
    </row>
    <row r="803" spans="18:20">
      <c r="R803" s="431" t="s">
        <v>2006</v>
      </c>
      <c r="S803" s="443" t="s">
        <v>2007</v>
      </c>
      <c r="T803" s="446"/>
    </row>
    <row r="804" spans="18:20">
      <c r="R804" s="431" t="s">
        <v>2008</v>
      </c>
      <c r="S804" s="443" t="s">
        <v>2009</v>
      </c>
      <c r="T804" s="446"/>
    </row>
    <row r="805" spans="18:20">
      <c r="R805" s="431" t="s">
        <v>2010</v>
      </c>
      <c r="S805" s="443" t="s">
        <v>2011</v>
      </c>
      <c r="T805" s="446"/>
    </row>
    <row r="806" spans="18:20">
      <c r="R806" s="431" t="s">
        <v>2012</v>
      </c>
      <c r="S806" s="443" t="s">
        <v>2013</v>
      </c>
      <c r="T806" s="446"/>
    </row>
    <row r="807" spans="18:20">
      <c r="R807" s="431" t="s">
        <v>2036</v>
      </c>
      <c r="S807" s="443" t="s">
        <v>2014</v>
      </c>
      <c r="T807" s="446"/>
    </row>
    <row r="808" spans="18:20">
      <c r="R808" s="431" t="s">
        <v>2138</v>
      </c>
      <c r="S808" s="443" t="s">
        <v>2015</v>
      </c>
    </row>
    <row r="809" spans="18:20">
      <c r="R809" s="432" t="s">
        <v>2137</v>
      </c>
      <c r="S809" s="444" t="s">
        <v>2015</v>
      </c>
    </row>
    <row r="810" spans="18:20">
      <c r="R810" s="431" t="s">
        <v>2016</v>
      </c>
      <c r="S810" s="443" t="s">
        <v>2017</v>
      </c>
    </row>
    <row r="811" spans="18:20">
      <c r="R811" s="431" t="s">
        <v>2018</v>
      </c>
      <c r="S811" s="443" t="s">
        <v>2019</v>
      </c>
    </row>
    <row r="812" spans="18:20">
      <c r="R812" s="431" t="s">
        <v>2020</v>
      </c>
      <c r="S812" s="443" t="s">
        <v>2021</v>
      </c>
    </row>
    <row r="813" spans="18:20">
      <c r="R813" s="442" t="s">
        <v>2037</v>
      </c>
      <c r="S813" s="443" t="s">
        <v>2022</v>
      </c>
    </row>
    <row r="814" spans="18:20">
      <c r="R814" s="431" t="s">
        <v>2023</v>
      </c>
      <c r="S814" s="443" t="s">
        <v>2024</v>
      </c>
    </row>
    <row r="815" spans="18:20">
      <c r="R815" s="432" t="s">
        <v>2114</v>
      </c>
      <c r="S815" s="443" t="s">
        <v>1793</v>
      </c>
    </row>
    <row r="816" spans="18:20" ht="15.75" thickBot="1">
      <c r="R816" s="433" t="s">
        <v>2025</v>
      </c>
      <c r="S816" s="448" t="s">
        <v>2026</v>
      </c>
    </row>
    <row r="817" ht="15.75" thickTop="1"/>
  </sheetData>
  <sortState ref="V441:X618">
    <sortCondition ref="V439"/>
  </sortState>
  <mergeCells count="23">
    <mergeCell ref="AJ1:AM1"/>
    <mergeCell ref="K1:M1"/>
    <mergeCell ref="O199:Q199"/>
    <mergeCell ref="C188:D188"/>
    <mergeCell ref="C172:D172"/>
    <mergeCell ref="U34:W34"/>
    <mergeCell ref="C176:D176"/>
    <mergeCell ref="V313:W313"/>
    <mergeCell ref="C180:D180"/>
    <mergeCell ref="AE4:AH4"/>
    <mergeCell ref="AD2:AG2"/>
    <mergeCell ref="V334:X334"/>
    <mergeCell ref="U6:V6"/>
    <mergeCell ref="C157:D157"/>
    <mergeCell ref="C126:D126"/>
    <mergeCell ref="C127:D127"/>
    <mergeCell ref="C129:D129"/>
    <mergeCell ref="C109:D109"/>
    <mergeCell ref="C120:D120"/>
    <mergeCell ref="C130:D130"/>
    <mergeCell ref="C145:D145"/>
    <mergeCell ref="S316:T316"/>
    <mergeCell ref="C167:D167"/>
  </mergeCells>
  <dataValidations count="3">
    <dataValidation type="list" allowBlank="1" showInputMessage="1" showErrorMessage="1" sqref="D99">
      <formula1>OFFSET($B$93,,MATCH($B$4,$A$92:$C$92,0)-72,12)</formula1>
    </dataValidation>
    <dataValidation type="textLength" allowBlank="1" showInputMessage="1" showErrorMessage="1" errorTitle="NOMBRE DE CHIFFRES SAISIS" error="Le numéro du compte saisit est inférieur à 12 chiffre." sqref="D229">
      <formula1>12</formula1>
      <formula2>12</formula2>
    </dataValidation>
    <dataValidation type="textLength" allowBlank="1" showInputMessage="1" showErrorMessage="1" errorTitle="COMPTE ERRONE" error="Le numéro du compte saisit est inférieur à 12 chiffre." sqref="D228">
      <formula1>12</formula1>
      <formula2>12</formula2>
    </dataValidation>
  </dataValidations>
  <hyperlinks>
    <hyperlink ref="W5" r:id="rId1" display="mkano@boaburkinafaso.com"/>
    <hyperlink ref="R5" r:id="rId2"/>
    <hyperlink ref="R6" r:id="rId3"/>
    <hyperlink ref="R7" r:id="rId4"/>
    <hyperlink ref="R8" r:id="rId5"/>
    <hyperlink ref="R9" r:id="rId6"/>
    <hyperlink ref="R10" r:id="rId7"/>
    <hyperlink ref="R11" r:id="rId8"/>
    <hyperlink ref="R12" r:id="rId9"/>
    <hyperlink ref="R13" r:id="rId10"/>
    <hyperlink ref="R14" r:id="rId11"/>
    <hyperlink ref="R15" r:id="rId12"/>
    <hyperlink ref="R16" r:id="rId13"/>
    <hyperlink ref="R17" r:id="rId14"/>
    <hyperlink ref="R18" r:id="rId15"/>
    <hyperlink ref="R19" r:id="rId16"/>
    <hyperlink ref="R20" r:id="rId17"/>
    <hyperlink ref="R21" r:id="rId18"/>
    <hyperlink ref="R22" r:id="rId19"/>
    <hyperlink ref="R23" r:id="rId20"/>
    <hyperlink ref="R24" r:id="rId21"/>
    <hyperlink ref="R27" r:id="rId22"/>
    <hyperlink ref="R25" r:id="rId23"/>
    <hyperlink ref="R26" r:id="rId24"/>
    <hyperlink ref="R28" r:id="rId25"/>
    <hyperlink ref="R29" r:id="rId26"/>
    <hyperlink ref="R30" r:id="rId27"/>
    <hyperlink ref="R31" r:id="rId28"/>
    <hyperlink ref="R32" r:id="rId29"/>
    <hyperlink ref="R33" r:id="rId30"/>
    <hyperlink ref="C2" r:id="rId31"/>
    <hyperlink ref="C1" r:id="rId32"/>
    <hyperlink ref="R34" r:id="rId33"/>
    <hyperlink ref="R35" r:id="rId34"/>
  </hyperlinks>
  <pageMargins left="0.7" right="0.7" top="0.75" bottom="0.75" header="0.3" footer="0.3"/>
  <pageSetup paperSize="9" orientation="portrait" r:id="rId3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4"/>
  <dimension ref="A1:J184"/>
  <sheetViews>
    <sheetView showGridLines="0" showRowColHeaders="0" tabSelected="1" workbookViewId="0">
      <selection activeCell="D9" sqref="D9"/>
    </sheetView>
  </sheetViews>
  <sheetFormatPr baseColWidth="10" defaultRowHeight="12.75"/>
  <cols>
    <col min="1" max="16384" width="11.42578125" style="503"/>
  </cols>
  <sheetData>
    <row r="1" spans="1:10">
      <c r="A1" s="502" t="s">
        <v>2275</v>
      </c>
    </row>
    <row r="2" spans="1:10">
      <c r="A2" s="502" t="s">
        <v>2276</v>
      </c>
    </row>
    <row r="3" spans="1:10">
      <c r="A3" s="502" t="s">
        <v>2277</v>
      </c>
    </row>
    <row r="4" spans="1:10">
      <c r="A4" s="502" t="s">
        <v>2278</v>
      </c>
    </row>
    <row r="5" spans="1:10">
      <c r="A5" s="502" t="s">
        <v>2279</v>
      </c>
      <c r="I5" s="557"/>
      <c r="J5" s="557"/>
    </row>
    <row r="6" spans="1:10">
      <c r="A6" s="502" t="s">
        <v>2280</v>
      </c>
      <c r="I6" s="557"/>
      <c r="J6" s="557"/>
    </row>
    <row r="7" spans="1:10">
      <c r="A7" s="502" t="s">
        <v>2281</v>
      </c>
      <c r="I7" s="557"/>
      <c r="J7" s="557"/>
    </row>
    <row r="8" spans="1:10" ht="13.5" thickBot="1">
      <c r="A8" s="502" t="s">
        <v>2282</v>
      </c>
      <c r="I8" s="558"/>
      <c r="J8" s="558"/>
    </row>
    <row r="9" spans="1:10" ht="13.5" thickTop="1">
      <c r="A9" s="502" t="s">
        <v>2283</v>
      </c>
    </row>
    <row r="10" spans="1:10" ht="15.75">
      <c r="A10" s="502" t="s">
        <v>2284</v>
      </c>
      <c r="I10" s="504"/>
    </row>
    <row r="11" spans="1:10">
      <c r="A11" s="502" t="s">
        <v>2285</v>
      </c>
    </row>
    <row r="12" spans="1:10">
      <c r="A12" s="502" t="s">
        <v>2286</v>
      </c>
    </row>
    <row r="13" spans="1:10">
      <c r="A13" s="505" t="s">
        <v>2290</v>
      </c>
      <c r="D13" s="520"/>
    </row>
    <row r="14" spans="1:10">
      <c r="A14" s="505" t="s">
        <v>2291</v>
      </c>
    </row>
    <row r="15" spans="1:10">
      <c r="A15" s="505" t="s">
        <v>2292</v>
      </c>
    </row>
    <row r="16" spans="1:10" ht="12.75" customHeight="1">
      <c r="A16" s="505" t="s">
        <v>2293</v>
      </c>
      <c r="E16" s="559"/>
      <c r="F16" s="559"/>
      <c r="G16" s="559"/>
    </row>
    <row r="17" spans="1:7" ht="12.75" customHeight="1">
      <c r="A17" s="505" t="s">
        <v>2294</v>
      </c>
      <c r="E17" s="559"/>
      <c r="F17" s="559"/>
      <c r="G17" s="559"/>
    </row>
    <row r="18" spans="1:7">
      <c r="A18" s="505" t="s">
        <v>2295</v>
      </c>
      <c r="E18" s="559"/>
      <c r="F18" s="559"/>
      <c r="G18" s="559"/>
    </row>
    <row r="19" spans="1:7">
      <c r="A19" s="505" t="s">
        <v>2296</v>
      </c>
      <c r="E19" s="559"/>
      <c r="F19" s="559"/>
      <c r="G19" s="559"/>
    </row>
    <row r="20" spans="1:7">
      <c r="A20" s="505" t="s">
        <v>2297</v>
      </c>
    </row>
    <row r="21" spans="1:7">
      <c r="A21" s="505" t="s">
        <v>2298</v>
      </c>
    </row>
    <row r="22" spans="1:7">
      <c r="A22" s="505" t="s">
        <v>2299</v>
      </c>
    </row>
    <row r="23" spans="1:7">
      <c r="A23" s="505" t="s">
        <v>2300</v>
      </c>
    </row>
    <row r="24" spans="1:7">
      <c r="A24" s="505" t="s">
        <v>2301</v>
      </c>
    </row>
    <row r="25" spans="1:7">
      <c r="A25" s="505" t="s">
        <v>2302</v>
      </c>
    </row>
    <row r="26" spans="1:7">
      <c r="A26" s="505" t="s">
        <v>2303</v>
      </c>
    </row>
    <row r="27" spans="1:7">
      <c r="A27" s="505" t="s">
        <v>2304</v>
      </c>
    </row>
    <row r="28" spans="1:7">
      <c r="A28" s="505" t="s">
        <v>2305</v>
      </c>
    </row>
    <row r="29" spans="1:7">
      <c r="A29" s="505" t="s">
        <v>2306</v>
      </c>
    </row>
    <row r="30" spans="1:7">
      <c r="A30" s="505" t="s">
        <v>2307</v>
      </c>
    </row>
    <row r="31" spans="1:7">
      <c r="A31" s="505" t="s">
        <v>2308</v>
      </c>
    </row>
    <row r="32" spans="1:7">
      <c r="A32" s="505" t="s">
        <v>2309</v>
      </c>
    </row>
    <row r="33" spans="1:1">
      <c r="A33" s="505" t="s">
        <v>2310</v>
      </c>
    </row>
    <row r="34" spans="1:1">
      <c r="A34" s="505" t="s">
        <v>2311</v>
      </c>
    </row>
    <row r="35" spans="1:1">
      <c r="A35" s="505" t="s">
        <v>2312</v>
      </c>
    </row>
    <row r="36" spans="1:1">
      <c r="A36" s="505" t="s">
        <v>2313</v>
      </c>
    </row>
    <row r="37" spans="1:1">
      <c r="A37" s="505" t="s">
        <v>2314</v>
      </c>
    </row>
    <row r="38" spans="1:1">
      <c r="A38" s="505" t="s">
        <v>2315</v>
      </c>
    </row>
    <row r="39" spans="1:1">
      <c r="A39" s="505" t="s">
        <v>2316</v>
      </c>
    </row>
    <row r="40" spans="1:1">
      <c r="A40" s="505" t="s">
        <v>2317</v>
      </c>
    </row>
    <row r="41" spans="1:1">
      <c r="A41" s="505" t="s">
        <v>2318</v>
      </c>
    </row>
    <row r="42" spans="1:1">
      <c r="A42" s="505" t="s">
        <v>2319</v>
      </c>
    </row>
    <row r="43" spans="1:1">
      <c r="A43" s="505" t="s">
        <v>2320</v>
      </c>
    </row>
    <row r="44" spans="1:1">
      <c r="A44" s="505" t="s">
        <v>2321</v>
      </c>
    </row>
    <row r="45" spans="1:1">
      <c r="A45" s="505" t="s">
        <v>2322</v>
      </c>
    </row>
    <row r="46" spans="1:1">
      <c r="A46" s="505" t="s">
        <v>2323</v>
      </c>
    </row>
    <row r="47" spans="1:1">
      <c r="A47" s="505" t="s">
        <v>2324</v>
      </c>
    </row>
    <row r="48" spans="1:1">
      <c r="A48" s="505" t="s">
        <v>2325</v>
      </c>
    </row>
    <row r="49" spans="1:1">
      <c r="A49" s="505" t="s">
        <v>2287</v>
      </c>
    </row>
    <row r="50" spans="1:1">
      <c r="A50" s="505" t="s">
        <v>2288</v>
      </c>
    </row>
    <row r="51" spans="1:1">
      <c r="A51" s="506"/>
    </row>
    <row r="52" spans="1:1">
      <c r="A52" s="507"/>
    </row>
    <row r="53" spans="1:1">
      <c r="A53" s="507"/>
    </row>
    <row r="54" spans="1:1">
      <c r="A54" s="507"/>
    </row>
    <row r="55" spans="1:1">
      <c r="A55" s="507"/>
    </row>
    <row r="56" spans="1:1">
      <c r="A56" s="507"/>
    </row>
    <row r="57" spans="1:1">
      <c r="A57" s="507"/>
    </row>
    <row r="58" spans="1:1">
      <c r="A58" s="507"/>
    </row>
    <row r="59" spans="1:1">
      <c r="A59" s="507"/>
    </row>
    <row r="60" spans="1:1">
      <c r="A60" s="507"/>
    </row>
    <row r="61" spans="1:1">
      <c r="A61" s="507"/>
    </row>
    <row r="62" spans="1:1">
      <c r="A62" s="507"/>
    </row>
    <row r="63" spans="1:1">
      <c r="A63" s="507"/>
    </row>
    <row r="64" spans="1:1">
      <c r="A64" s="507"/>
    </row>
    <row r="65" spans="1:1">
      <c r="A65" s="507"/>
    </row>
    <row r="66" spans="1:1">
      <c r="A66" s="507"/>
    </row>
    <row r="67" spans="1:1">
      <c r="A67" s="507"/>
    </row>
    <row r="68" spans="1:1">
      <c r="A68" s="507"/>
    </row>
    <row r="69" spans="1:1">
      <c r="A69" s="507"/>
    </row>
    <row r="70" spans="1:1">
      <c r="A70" s="507"/>
    </row>
    <row r="71" spans="1:1">
      <c r="A71" s="507"/>
    </row>
    <row r="72" spans="1:1">
      <c r="A72" s="507"/>
    </row>
    <row r="73" spans="1:1">
      <c r="A73" s="507"/>
    </row>
    <row r="74" spans="1:1">
      <c r="A74" s="507"/>
    </row>
    <row r="75" spans="1:1">
      <c r="A75" s="507"/>
    </row>
    <row r="76" spans="1:1">
      <c r="A76" s="507"/>
    </row>
    <row r="77" spans="1:1">
      <c r="A77" s="507"/>
    </row>
    <row r="78" spans="1:1">
      <c r="A78" s="507"/>
    </row>
    <row r="79" spans="1:1">
      <c r="A79" s="507"/>
    </row>
    <row r="80" spans="1:1">
      <c r="A80" s="507"/>
    </row>
    <row r="81" spans="1:1">
      <c r="A81" s="507"/>
    </row>
    <row r="82" spans="1:1">
      <c r="A82" s="507"/>
    </row>
    <row r="83" spans="1:1">
      <c r="A83" s="507"/>
    </row>
    <row r="84" spans="1:1">
      <c r="A84" s="507"/>
    </row>
    <row r="85" spans="1:1">
      <c r="A85" s="507"/>
    </row>
    <row r="86" spans="1:1">
      <c r="A86" s="507"/>
    </row>
    <row r="87" spans="1:1">
      <c r="A87" s="507"/>
    </row>
    <row r="88" spans="1:1">
      <c r="A88" s="507"/>
    </row>
    <row r="89" spans="1:1">
      <c r="A89" s="507"/>
    </row>
    <row r="90" spans="1:1">
      <c r="A90" s="507"/>
    </row>
    <row r="91" spans="1:1">
      <c r="A91" s="507"/>
    </row>
    <row r="92" spans="1:1">
      <c r="A92" s="507"/>
    </row>
    <row r="93" spans="1:1">
      <c r="A93" s="507"/>
    </row>
    <row r="94" spans="1:1">
      <c r="A94" s="507"/>
    </row>
    <row r="95" spans="1:1">
      <c r="A95" s="507"/>
    </row>
    <row r="96" spans="1:1">
      <c r="A96" s="507"/>
    </row>
    <row r="97" spans="1:1">
      <c r="A97" s="507"/>
    </row>
    <row r="98" spans="1:1">
      <c r="A98" s="507"/>
    </row>
    <row r="99" spans="1:1">
      <c r="A99" s="507"/>
    </row>
    <row r="100" spans="1:1">
      <c r="A100" s="507"/>
    </row>
    <row r="101" spans="1:1">
      <c r="A101" s="507"/>
    </row>
    <row r="102" spans="1:1">
      <c r="A102" s="507"/>
    </row>
    <row r="103" spans="1:1">
      <c r="A103" s="507"/>
    </row>
    <row r="104" spans="1:1">
      <c r="A104" s="507"/>
    </row>
    <row r="105" spans="1:1">
      <c r="A105" s="507"/>
    </row>
    <row r="106" spans="1:1">
      <c r="A106" s="507"/>
    </row>
    <row r="107" spans="1:1">
      <c r="A107" s="507"/>
    </row>
    <row r="108" spans="1:1">
      <c r="A108" s="507"/>
    </row>
    <row r="109" spans="1:1">
      <c r="A109" s="507"/>
    </row>
    <row r="110" spans="1:1">
      <c r="A110" s="507"/>
    </row>
    <row r="111" spans="1:1">
      <c r="A111" s="507"/>
    </row>
    <row r="112" spans="1:1">
      <c r="A112" s="507"/>
    </row>
    <row r="113" spans="1:1">
      <c r="A113" s="507"/>
    </row>
    <row r="114" spans="1:1">
      <c r="A114" s="507"/>
    </row>
    <row r="115" spans="1:1">
      <c r="A115" s="507"/>
    </row>
    <row r="116" spans="1:1">
      <c r="A116" s="507"/>
    </row>
    <row r="117" spans="1:1">
      <c r="A117" s="507"/>
    </row>
    <row r="118" spans="1:1">
      <c r="A118" s="507"/>
    </row>
    <row r="119" spans="1:1">
      <c r="A119" s="507"/>
    </row>
    <row r="120" spans="1:1">
      <c r="A120" s="507"/>
    </row>
    <row r="121" spans="1:1">
      <c r="A121" s="507"/>
    </row>
    <row r="122" spans="1:1">
      <c r="A122" s="507"/>
    </row>
    <row r="123" spans="1:1">
      <c r="A123" s="507"/>
    </row>
    <row r="124" spans="1:1">
      <c r="A124" s="507"/>
    </row>
    <row r="125" spans="1:1">
      <c r="A125" s="507"/>
    </row>
    <row r="126" spans="1:1">
      <c r="A126" s="507"/>
    </row>
    <row r="127" spans="1:1">
      <c r="A127" s="507"/>
    </row>
    <row r="128" spans="1:1">
      <c r="A128" s="507"/>
    </row>
    <row r="129" spans="1:1">
      <c r="A129" s="507"/>
    </row>
    <row r="130" spans="1:1">
      <c r="A130" s="507"/>
    </row>
    <row r="131" spans="1:1">
      <c r="A131" s="507"/>
    </row>
    <row r="132" spans="1:1">
      <c r="A132" s="507"/>
    </row>
    <row r="133" spans="1:1">
      <c r="A133" s="507"/>
    </row>
    <row r="134" spans="1:1">
      <c r="A134" s="507"/>
    </row>
    <row r="135" spans="1:1">
      <c r="A135" s="507"/>
    </row>
    <row r="136" spans="1:1">
      <c r="A136" s="507"/>
    </row>
    <row r="137" spans="1:1">
      <c r="A137" s="507"/>
    </row>
    <row r="138" spans="1:1">
      <c r="A138" s="507"/>
    </row>
    <row r="139" spans="1:1">
      <c r="A139" s="507"/>
    </row>
    <row r="140" spans="1:1">
      <c r="A140" s="507"/>
    </row>
    <row r="141" spans="1:1">
      <c r="A141" s="507"/>
    </row>
    <row r="142" spans="1:1">
      <c r="A142" s="507"/>
    </row>
    <row r="143" spans="1:1">
      <c r="A143" s="507"/>
    </row>
    <row r="144" spans="1:1">
      <c r="A144" s="507"/>
    </row>
    <row r="145" spans="1:1">
      <c r="A145" s="507"/>
    </row>
    <row r="146" spans="1:1">
      <c r="A146" s="507"/>
    </row>
    <row r="147" spans="1:1">
      <c r="A147" s="507"/>
    </row>
    <row r="148" spans="1:1">
      <c r="A148" s="507"/>
    </row>
    <row r="149" spans="1:1">
      <c r="A149" s="507"/>
    </row>
    <row r="150" spans="1:1">
      <c r="A150" s="507"/>
    </row>
    <row r="151" spans="1:1">
      <c r="A151" s="507"/>
    </row>
    <row r="152" spans="1:1">
      <c r="A152" s="507"/>
    </row>
    <row r="153" spans="1:1">
      <c r="A153" s="507"/>
    </row>
    <row r="154" spans="1:1">
      <c r="A154" s="507"/>
    </row>
    <row r="155" spans="1:1">
      <c r="A155" s="507"/>
    </row>
    <row r="156" spans="1:1">
      <c r="A156" s="507"/>
    </row>
    <row r="157" spans="1:1">
      <c r="A157" s="507"/>
    </row>
    <row r="158" spans="1:1">
      <c r="A158" s="507"/>
    </row>
    <row r="159" spans="1:1">
      <c r="A159" s="507"/>
    </row>
    <row r="160" spans="1:1">
      <c r="A160" s="507"/>
    </row>
    <row r="161" spans="1:1">
      <c r="A161" s="507"/>
    </row>
    <row r="162" spans="1:1">
      <c r="A162" s="507"/>
    </row>
    <row r="163" spans="1:1">
      <c r="A163" s="507"/>
    </row>
    <row r="164" spans="1:1">
      <c r="A164" s="507"/>
    </row>
    <row r="165" spans="1:1">
      <c r="A165" s="507"/>
    </row>
    <row r="166" spans="1:1">
      <c r="A166" s="507"/>
    </row>
    <row r="167" spans="1:1">
      <c r="A167" s="507"/>
    </row>
    <row r="168" spans="1:1">
      <c r="A168" s="507"/>
    </row>
    <row r="169" spans="1:1">
      <c r="A169" s="507"/>
    </row>
    <row r="170" spans="1:1">
      <c r="A170" s="507"/>
    </row>
    <row r="171" spans="1:1">
      <c r="A171" s="507"/>
    </row>
    <row r="172" spans="1:1">
      <c r="A172" s="507"/>
    </row>
    <row r="173" spans="1:1">
      <c r="A173" s="507"/>
    </row>
    <row r="174" spans="1:1">
      <c r="A174" s="507"/>
    </row>
    <row r="175" spans="1:1">
      <c r="A175" s="507"/>
    </row>
    <row r="176" spans="1:1">
      <c r="A176" s="507"/>
    </row>
    <row r="177" spans="1:1">
      <c r="A177" s="507"/>
    </row>
    <row r="178" spans="1:1">
      <c r="A178" s="507"/>
    </row>
    <row r="179" spans="1:1">
      <c r="A179" s="507"/>
    </row>
    <row r="180" spans="1:1">
      <c r="A180" s="507"/>
    </row>
    <row r="181" spans="1:1">
      <c r="A181" s="507"/>
    </row>
    <row r="182" spans="1:1">
      <c r="A182" s="507"/>
    </row>
    <row r="183" spans="1:1">
      <c r="A183" s="507"/>
    </row>
    <row r="184" spans="1:1">
      <c r="A184" s="507"/>
    </row>
  </sheetData>
  <sheetProtection pivotTables="0"/>
  <mergeCells count="2">
    <mergeCell ref="I5:J8"/>
    <mergeCell ref="E16:G19"/>
  </mergeCells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legacyDrawing r:id="rId2"/>
  <picture r:id="rId3"/>
  <controls>
    <control shapeId="4099" r:id="rId4" name="CommandButton3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6"/>
  <dimension ref="B1:L35"/>
  <sheetViews>
    <sheetView showGridLines="0" topLeftCell="A5" workbookViewId="0">
      <selection activeCell="H22" sqref="H22"/>
    </sheetView>
  </sheetViews>
  <sheetFormatPr baseColWidth="10" defaultColWidth="5.7109375" defaultRowHeight="9.9499999999999993" customHeight="1"/>
  <cols>
    <col min="1" max="1" width="1.42578125" style="57" customWidth="1"/>
    <col min="2" max="2" width="5.42578125" style="1" customWidth="1"/>
    <col min="3" max="3" width="17" style="162" customWidth="1"/>
    <col min="4" max="4" width="31.85546875" style="57" customWidth="1"/>
    <col min="5" max="5" width="18.7109375" style="57" customWidth="1"/>
    <col min="6" max="6" width="35" style="57" customWidth="1"/>
    <col min="7" max="7" width="29.140625" style="57" customWidth="1"/>
    <col min="8" max="8" width="8.140625" style="174" customWidth="1"/>
    <col min="9" max="9" width="1.28515625" style="57" customWidth="1"/>
    <col min="10" max="16384" width="5.7109375" style="57"/>
  </cols>
  <sheetData>
    <row r="1" spans="2:12" ht="5.25" customHeight="1"/>
    <row r="2" spans="2:12" ht="12.75" customHeight="1">
      <c r="C2" s="176" t="str">
        <f ca="1">CONCATENATE("Date du jour : ",,TEXT(TODAY(),"jj mmmm aaaa"))</f>
        <v>Date du jour : 23 septembre 2012</v>
      </c>
      <c r="F2" s="560" t="s">
        <v>121</v>
      </c>
      <c r="G2" s="560"/>
      <c r="H2" s="169"/>
      <c r="L2" s="75" t="s">
        <v>6</v>
      </c>
    </row>
    <row r="3" spans="2:12" ht="7.5" customHeight="1">
      <c r="C3" s="152"/>
      <c r="F3" s="151"/>
      <c r="G3" s="151"/>
      <c r="H3" s="169"/>
      <c r="L3" s="75"/>
    </row>
    <row r="5" spans="2:12" s="59" customFormat="1" ht="18.75" customHeight="1">
      <c r="B5" s="2"/>
      <c r="C5" s="163"/>
      <c r="D5" s="561" t="s">
        <v>200</v>
      </c>
      <c r="E5" s="561"/>
      <c r="F5" s="561"/>
      <c r="G5" s="561"/>
      <c r="H5" s="55"/>
    </row>
    <row r="7" spans="2:12" ht="15" customHeight="1">
      <c r="C7" s="162" t="s">
        <v>201</v>
      </c>
    </row>
    <row r="8" spans="2:12" ht="5.25" customHeight="1"/>
    <row r="9" spans="2:12" ht="15" customHeight="1">
      <c r="C9" s="164" t="s">
        <v>202</v>
      </c>
    </row>
    <row r="10" spans="2:12" ht="15" customHeight="1" thickBot="1"/>
    <row r="11" spans="2:12" ht="33.75" customHeight="1" thickBot="1">
      <c r="B11" s="196" t="s">
        <v>80</v>
      </c>
      <c r="C11" s="153" t="s">
        <v>81</v>
      </c>
      <c r="D11" s="154" t="s">
        <v>197</v>
      </c>
      <c r="E11" s="155" t="s">
        <v>82</v>
      </c>
      <c r="F11" s="154" t="s">
        <v>198</v>
      </c>
      <c r="G11" s="156" t="s">
        <v>199</v>
      </c>
      <c r="H11" s="173" t="s">
        <v>203</v>
      </c>
    </row>
    <row r="12" spans="2:12" ht="19.5" customHeight="1">
      <c r="B12" s="197">
        <f>IF(C12&lt;&gt;"",1,"")</f>
        <v>1</v>
      </c>
      <c r="C12" s="165" t="s">
        <v>2173</v>
      </c>
      <c r="D12" s="157" t="s">
        <v>2171</v>
      </c>
      <c r="E12" s="158" t="s">
        <v>2172</v>
      </c>
      <c r="F12" s="96" t="s">
        <v>2175</v>
      </c>
      <c r="G12" s="170" t="s">
        <v>2174</v>
      </c>
      <c r="H12" s="97" t="s">
        <v>249</v>
      </c>
    </row>
    <row r="13" spans="2:12" ht="19.5" customHeight="1">
      <c r="B13" s="198">
        <f>IF(C13&lt;&gt;"",B12+1,"")</f>
        <v>2</v>
      </c>
      <c r="C13" s="166" t="s">
        <v>2177</v>
      </c>
      <c r="D13" s="159" t="s">
        <v>2176</v>
      </c>
      <c r="E13" s="98">
        <v>71224417</v>
      </c>
      <c r="F13" s="99" t="s">
        <v>2179</v>
      </c>
      <c r="G13" s="171" t="s">
        <v>2178</v>
      </c>
      <c r="H13" s="101" t="s">
        <v>249</v>
      </c>
    </row>
    <row r="14" spans="2:12" ht="19.5" customHeight="1">
      <c r="B14" s="198">
        <f t="shared" ref="B14:B30" si="0">IF(C14&lt;&gt;"",B13+1,"")</f>
        <v>3</v>
      </c>
      <c r="C14" s="166" t="s">
        <v>2182</v>
      </c>
      <c r="D14" s="159" t="s">
        <v>2180</v>
      </c>
      <c r="E14" s="98" t="s">
        <v>2181</v>
      </c>
      <c r="F14" s="99" t="s">
        <v>2179</v>
      </c>
      <c r="G14" s="171" t="s">
        <v>2183</v>
      </c>
      <c r="H14" s="101" t="s">
        <v>249</v>
      </c>
    </row>
    <row r="15" spans="2:12" ht="19.5" customHeight="1">
      <c r="B15" s="198" t="str">
        <f t="shared" si="0"/>
        <v/>
      </c>
      <c r="C15" s="166"/>
      <c r="D15" s="159"/>
      <c r="E15" s="98"/>
      <c r="F15" s="99"/>
      <c r="G15" s="171"/>
      <c r="H15" s="101"/>
    </row>
    <row r="16" spans="2:12" ht="19.5" customHeight="1">
      <c r="B16" s="198" t="str">
        <f t="shared" si="0"/>
        <v/>
      </c>
      <c r="C16" s="166"/>
      <c r="D16" s="159"/>
      <c r="E16" s="98"/>
      <c r="F16" s="99"/>
      <c r="G16" s="171"/>
      <c r="H16" s="101"/>
    </row>
    <row r="17" spans="2:8" ht="19.5" customHeight="1">
      <c r="B17" s="198" t="str">
        <f t="shared" si="0"/>
        <v/>
      </c>
      <c r="C17" s="166"/>
      <c r="D17" s="159"/>
      <c r="E17" s="98"/>
      <c r="F17" s="99"/>
      <c r="G17" s="171"/>
      <c r="H17" s="101"/>
    </row>
    <row r="18" spans="2:8" ht="19.5" customHeight="1">
      <c r="B18" s="198" t="str">
        <f t="shared" si="0"/>
        <v/>
      </c>
      <c r="C18" s="166"/>
      <c r="D18" s="159"/>
      <c r="E18" s="98"/>
      <c r="F18" s="99"/>
      <c r="G18" s="171"/>
      <c r="H18" s="101"/>
    </row>
    <row r="19" spans="2:8" ht="19.5" customHeight="1">
      <c r="B19" s="198" t="str">
        <f t="shared" si="0"/>
        <v/>
      </c>
      <c r="C19" s="166"/>
      <c r="D19" s="159"/>
      <c r="E19" s="98"/>
      <c r="F19" s="99"/>
      <c r="G19" s="171"/>
      <c r="H19" s="101"/>
    </row>
    <row r="20" spans="2:8" ht="19.5" customHeight="1">
      <c r="B20" s="198" t="str">
        <f t="shared" si="0"/>
        <v/>
      </c>
      <c r="C20" s="166"/>
      <c r="D20" s="159"/>
      <c r="E20" s="100"/>
      <c r="F20" s="99"/>
      <c r="G20" s="171"/>
      <c r="H20" s="101"/>
    </row>
    <row r="21" spans="2:8" ht="19.5" customHeight="1">
      <c r="B21" s="198" t="str">
        <f t="shared" si="0"/>
        <v/>
      </c>
      <c r="C21" s="166"/>
      <c r="D21" s="159"/>
      <c r="E21" s="98"/>
      <c r="F21" s="99"/>
      <c r="G21" s="171"/>
      <c r="H21" s="101"/>
    </row>
    <row r="22" spans="2:8" ht="19.5" customHeight="1">
      <c r="B22" s="198" t="str">
        <f t="shared" si="0"/>
        <v/>
      </c>
      <c r="C22" s="166"/>
      <c r="D22" s="159"/>
      <c r="E22" s="98"/>
      <c r="F22" s="99"/>
      <c r="G22" s="171"/>
      <c r="H22" s="101"/>
    </row>
    <row r="23" spans="2:8" ht="19.5" customHeight="1">
      <c r="B23" s="198" t="str">
        <f t="shared" si="0"/>
        <v/>
      </c>
      <c r="C23" s="166"/>
      <c r="D23" s="159"/>
      <c r="E23" s="98"/>
      <c r="F23" s="99"/>
      <c r="G23" s="171"/>
      <c r="H23" s="101"/>
    </row>
    <row r="24" spans="2:8" ht="19.5" customHeight="1">
      <c r="B24" s="198" t="str">
        <f t="shared" si="0"/>
        <v/>
      </c>
      <c r="C24" s="166"/>
      <c r="D24" s="159"/>
      <c r="E24" s="98"/>
      <c r="F24" s="99"/>
      <c r="G24" s="171"/>
      <c r="H24" s="101"/>
    </row>
    <row r="25" spans="2:8" ht="19.5" customHeight="1">
      <c r="B25" s="198" t="str">
        <f t="shared" si="0"/>
        <v/>
      </c>
      <c r="C25" s="166"/>
      <c r="D25" s="159"/>
      <c r="E25" s="98"/>
      <c r="F25" s="99"/>
      <c r="G25" s="171"/>
      <c r="H25" s="101"/>
    </row>
    <row r="26" spans="2:8" ht="19.5" customHeight="1">
      <c r="B26" s="198" t="str">
        <f t="shared" si="0"/>
        <v/>
      </c>
      <c r="C26" s="166"/>
      <c r="D26" s="159"/>
      <c r="E26" s="98"/>
      <c r="F26" s="99"/>
      <c r="G26" s="171"/>
      <c r="H26" s="101"/>
    </row>
    <row r="27" spans="2:8" ht="19.5" customHeight="1">
      <c r="B27" s="198" t="str">
        <f t="shared" si="0"/>
        <v/>
      </c>
      <c r="C27" s="166"/>
      <c r="D27" s="159"/>
      <c r="E27" s="98"/>
      <c r="F27" s="99"/>
      <c r="G27" s="171"/>
      <c r="H27" s="101"/>
    </row>
    <row r="28" spans="2:8" ht="19.5" customHeight="1">
      <c r="B28" s="198" t="str">
        <f t="shared" si="0"/>
        <v/>
      </c>
      <c r="C28" s="166"/>
      <c r="D28" s="159"/>
      <c r="E28" s="98"/>
      <c r="F28" s="99"/>
      <c r="G28" s="171"/>
      <c r="H28" s="101"/>
    </row>
    <row r="29" spans="2:8" ht="19.5" customHeight="1">
      <c r="B29" s="198" t="str">
        <f t="shared" si="0"/>
        <v/>
      </c>
      <c r="C29" s="166"/>
      <c r="D29" s="159"/>
      <c r="E29" s="98"/>
      <c r="F29" s="99"/>
      <c r="G29" s="171"/>
      <c r="H29" s="101"/>
    </row>
    <row r="30" spans="2:8" ht="19.5" customHeight="1">
      <c r="B30" s="198" t="str">
        <f t="shared" si="0"/>
        <v/>
      </c>
      <c r="C30" s="166"/>
      <c r="D30" s="159"/>
      <c r="E30" s="98"/>
      <c r="F30" s="99"/>
      <c r="G30" s="171"/>
      <c r="H30" s="101"/>
    </row>
    <row r="31" spans="2:8" ht="19.5" customHeight="1" thickBot="1">
      <c r="B31" s="199"/>
      <c r="C31" s="167"/>
      <c r="D31" s="160"/>
      <c r="E31" s="102"/>
      <c r="F31" s="103"/>
      <c r="G31" s="172"/>
      <c r="H31" s="104"/>
    </row>
    <row r="33" spans="2:4" ht="12" customHeight="1">
      <c r="B33" s="200"/>
    </row>
    <row r="34" spans="2:4" ht="11.25" customHeight="1">
      <c r="C34" s="168"/>
      <c r="D34" s="161"/>
    </row>
    <row r="35" spans="2:4" ht="11.25" customHeight="1">
      <c r="C35" s="168"/>
      <c r="D35" s="161"/>
    </row>
  </sheetData>
  <mergeCells count="2">
    <mergeCell ref="F2:G2"/>
    <mergeCell ref="D5:G5"/>
  </mergeCells>
  <pageMargins left="0.27" right="0.11811023622047245" top="0.27559055118110237" bottom="0.31496062992125984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3:B48"/>
  <sheetViews>
    <sheetView workbookViewId="0">
      <selection activeCell="B15" sqref="B15"/>
    </sheetView>
  </sheetViews>
  <sheetFormatPr baseColWidth="10" defaultRowHeight="15"/>
  <cols>
    <col min="1" max="1" width="36.85546875" customWidth="1"/>
    <col min="2" max="2" width="41" customWidth="1"/>
  </cols>
  <sheetData>
    <row r="3" spans="1:2" ht="19.5" thickBot="1">
      <c r="A3" s="518" t="s">
        <v>85</v>
      </c>
      <c r="B3" s="516" t="s">
        <v>2289</v>
      </c>
    </row>
    <row r="4" spans="1:2" ht="18" thickTop="1">
      <c r="A4" s="508"/>
      <c r="B4" s="58"/>
    </row>
    <row r="5" spans="1:2" ht="17.25">
      <c r="A5" s="509"/>
      <c r="B5" s="58"/>
    </row>
    <row r="6" spans="1:2" ht="17.25">
      <c r="A6" s="509"/>
      <c r="B6" s="58"/>
    </row>
    <row r="7" spans="1:2" ht="17.25">
      <c r="A7" s="509"/>
      <c r="B7" s="58"/>
    </row>
    <row r="8" spans="1:2" ht="17.25">
      <c r="A8" s="509"/>
      <c r="B8" s="58"/>
    </row>
    <row r="9" spans="1:2">
      <c r="A9" s="510"/>
      <c r="B9" s="58"/>
    </row>
    <row r="10" spans="1:2" ht="17.25">
      <c r="A10" s="509"/>
      <c r="B10" s="58"/>
    </row>
    <row r="11" spans="1:2" ht="17.25">
      <c r="A11" s="509"/>
      <c r="B11" s="58"/>
    </row>
    <row r="12" spans="1:2" ht="17.25">
      <c r="A12" s="509"/>
      <c r="B12" s="58"/>
    </row>
    <row r="13" spans="1:2" ht="17.25">
      <c r="A13" s="509"/>
      <c r="B13" s="58"/>
    </row>
    <row r="14" spans="1:2" ht="17.25">
      <c r="A14" s="509"/>
      <c r="B14" s="58"/>
    </row>
    <row r="15" spans="1:2" ht="17.25">
      <c r="A15" s="509"/>
      <c r="B15" s="58"/>
    </row>
    <row r="16" spans="1:2" ht="17.25">
      <c r="A16" s="509"/>
      <c r="B16" s="58"/>
    </row>
    <row r="17" spans="1:2" ht="17.25">
      <c r="A17" s="509"/>
      <c r="B17" s="58"/>
    </row>
    <row r="18" spans="1:2" ht="17.25">
      <c r="A18" s="509"/>
      <c r="B18" s="58"/>
    </row>
    <row r="19" spans="1:2" ht="17.25">
      <c r="A19" s="509"/>
      <c r="B19" s="58"/>
    </row>
    <row r="20" spans="1:2" ht="17.25">
      <c r="A20" s="509"/>
      <c r="B20" s="58"/>
    </row>
    <row r="21" spans="1:2" ht="17.25">
      <c r="A21" s="509"/>
      <c r="B21" s="519">
        <v>41252</v>
      </c>
    </row>
    <row r="22" spans="1:2" ht="17.25">
      <c r="A22" s="509"/>
      <c r="B22" s="517"/>
    </row>
    <row r="23" spans="1:2" ht="17.25">
      <c r="A23" s="509"/>
      <c r="B23" s="58"/>
    </row>
    <row r="24" spans="1:2" ht="17.25">
      <c r="A24" s="509"/>
      <c r="B24" s="58"/>
    </row>
    <row r="25" spans="1:2" ht="17.25">
      <c r="A25" s="509"/>
      <c r="B25" s="58"/>
    </row>
    <row r="26" spans="1:2" ht="17.25">
      <c r="A26" s="509"/>
      <c r="B26" s="58"/>
    </row>
    <row r="27" spans="1:2" ht="17.25">
      <c r="A27" s="509"/>
      <c r="B27" s="58"/>
    </row>
    <row r="28" spans="1:2" ht="17.25">
      <c r="A28" s="509"/>
      <c r="B28" s="58"/>
    </row>
    <row r="29" spans="1:2" ht="17.25">
      <c r="A29" s="509"/>
      <c r="B29" s="58"/>
    </row>
    <row r="30" spans="1:2" ht="17.25">
      <c r="A30" s="509"/>
      <c r="B30" s="58"/>
    </row>
    <row r="31" spans="1:2" ht="17.25">
      <c r="A31" s="509"/>
      <c r="B31" s="58"/>
    </row>
    <row r="32" spans="1:2" ht="17.25">
      <c r="A32" s="509"/>
      <c r="B32" s="58"/>
    </row>
    <row r="33" spans="1:2" ht="17.25">
      <c r="A33" s="509"/>
      <c r="B33" s="58"/>
    </row>
    <row r="34" spans="1:2" ht="17.25">
      <c r="A34" s="509"/>
      <c r="B34" s="58"/>
    </row>
    <row r="35" spans="1:2" ht="17.25">
      <c r="A35" s="509"/>
      <c r="B35" s="58"/>
    </row>
    <row r="36" spans="1:2" ht="17.25">
      <c r="A36" s="509"/>
      <c r="B36" s="58"/>
    </row>
    <row r="37" spans="1:2" ht="17.25">
      <c r="A37" s="509"/>
      <c r="B37" s="58"/>
    </row>
    <row r="38" spans="1:2" ht="17.25">
      <c r="A38" s="509"/>
      <c r="B38" s="58"/>
    </row>
    <row r="39" spans="1:2" ht="17.25">
      <c r="A39" s="509"/>
      <c r="B39" s="58"/>
    </row>
    <row r="40" spans="1:2" ht="17.25">
      <c r="A40" s="509"/>
      <c r="B40" s="58"/>
    </row>
    <row r="41" spans="1:2" ht="17.25">
      <c r="A41" s="511"/>
      <c r="B41" s="58"/>
    </row>
    <row r="42" spans="1:2" ht="17.25">
      <c r="A42" s="512"/>
      <c r="B42" s="58"/>
    </row>
    <row r="43" spans="1:2" ht="17.25">
      <c r="A43" s="512"/>
      <c r="B43" s="58"/>
    </row>
    <row r="44" spans="1:2" ht="17.25">
      <c r="A44" s="512"/>
      <c r="B44" s="58"/>
    </row>
    <row r="45" spans="1:2" ht="17.25">
      <c r="A45" s="513"/>
      <c r="B45" s="58"/>
    </row>
    <row r="46" spans="1:2" ht="17.25">
      <c r="A46" s="512"/>
      <c r="B46" s="58"/>
    </row>
    <row r="47" spans="1:2" ht="17.25">
      <c r="A47" s="512"/>
      <c r="B47" s="58"/>
    </row>
    <row r="48" spans="1:2" ht="17.25">
      <c r="A48" s="514"/>
      <c r="B48" s="51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C5:C11"/>
  <sheetViews>
    <sheetView workbookViewId="0">
      <selection activeCell="F13" sqref="F13"/>
    </sheetView>
  </sheetViews>
  <sheetFormatPr baseColWidth="10" defaultRowHeight="15"/>
  <sheetData>
    <row r="5" spans="3:3">
      <c r="C5" s="57" t="s">
        <v>13</v>
      </c>
    </row>
    <row r="6" spans="3:3">
      <c r="C6" s="57" t="s">
        <v>53</v>
      </c>
    </row>
    <row r="7" spans="3:3">
      <c r="C7" s="57" t="s">
        <v>51</v>
      </c>
    </row>
    <row r="8" spans="3:3">
      <c r="C8" s="57" t="s">
        <v>50</v>
      </c>
    </row>
    <row r="9" spans="3:3">
      <c r="C9" s="57" t="s">
        <v>463</v>
      </c>
    </row>
    <row r="10" spans="3:3">
      <c r="C10" s="57" t="s">
        <v>49</v>
      </c>
    </row>
    <row r="11" spans="3:3">
      <c r="C11" s="57" t="s">
        <v>2326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Accueil</vt:lpstr>
      <vt:lpstr>STATBSMS2</vt:lpstr>
      <vt:lpstr>DONNE</vt:lpstr>
      <vt:lpstr>PARAM</vt:lpstr>
      <vt:lpstr>AC_CLIENTS</vt:lpstr>
      <vt:lpstr>An</vt:lpstr>
      <vt:lpstr>BOA</vt:lpstr>
      <vt:lpstr>CODE_EXPL</vt:lpstr>
      <vt:lpstr>depart</vt:lpstr>
      <vt:lpstr>PARAMETRE!EPAA</vt:lpstr>
      <vt:lpstr>JULIE</vt:lpstr>
      <vt:lpstr>liste_code</vt:lpstr>
      <vt:lpstr>matrice_1</vt:lpstr>
      <vt:lpstr>matrice_2</vt:lpstr>
      <vt:lpstr>STATBSMS2!NVCLIENT</vt:lpstr>
      <vt:lpstr>NVCLIENT</vt:lpstr>
      <vt:lpstr>TYPE_C</vt:lpstr>
      <vt:lpstr>STATBSMS2!Zone_d_impression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BENZOPLUS</cp:lastModifiedBy>
  <cp:lastPrinted>2012-09-03T16:06:19Z</cp:lastPrinted>
  <dcterms:created xsi:type="dcterms:W3CDTF">2010-11-25T12:24:03Z</dcterms:created>
  <dcterms:modified xsi:type="dcterms:W3CDTF">2012-09-23T11:53:00Z</dcterms:modified>
</cp:coreProperties>
</file>